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\@ Продажи\ПРОДАЖИ\Прайс-листы 2026\! ПРАЙС-ЛИСТ 2026_АВГУСТ\"/>
    </mc:Choice>
  </mc:AlternateContent>
  <xr:revisionPtr revIDLastSave="0" documentId="13_ncr:1_{A2989CB2-E3C1-4ED7-96C5-DA636CFB615C}" xr6:coauthVersionLast="47" xr6:coauthVersionMax="47" xr10:uidLastSave="{00000000-0000-0000-0000-000000000000}"/>
  <bookViews>
    <workbookView xWindow="1680" yWindow="-120" windowWidth="27240" windowHeight="16440" xr2:uid="{00000000-000D-0000-FFFF-FFFF00000000}"/>
  </bookViews>
  <sheets>
    <sheet name="РЕЕСТР" sheetId="19" r:id="rId1"/>
    <sheet name="Сканер-ВС 7.0 BASE ФСТЭК" sheetId="38" r:id="rId2"/>
    <sheet name="(Э) Сканер-ВС 7.0 BASE ФСТЭК" sheetId="48" r:id="rId3"/>
    <sheet name="Сканер-ВС 7.0 Enterprise" sheetId="39" r:id="rId4"/>
    <sheet name="(Э) Сканер-ВС 7.0 Enterprise" sheetId="49" r:id="rId5"/>
    <sheet name="Сканер-ВС Инспектор 7.0 ФСТЭК " sheetId="40" r:id="rId6"/>
    <sheet name="(Э) Сканер-ВС Инспектор 7.0 ФСТ" sheetId="50" r:id="rId7"/>
    <sheet name="Сканер-ВС7 Enterprise Инспектор" sheetId="41" r:id="rId8"/>
    <sheet name="(Э) Сканер-ВС7 Enterprise Инспе" sheetId="51" r:id="rId9"/>
    <sheet name="Комрад V4.5 ФСТЭК" sheetId="58" r:id="rId10"/>
    <sheet name="АК-ВС3 без сертификата" sheetId="44" r:id="rId11"/>
    <sheet name="(Э) АК-ВС3 без сертификата" sheetId="56" r:id="rId12"/>
    <sheet name="АК-ВС3 МО РФ" sheetId="31" r:id="rId13"/>
    <sheet name="(Э) CAT" sheetId="57" r:id="rId14"/>
    <sheet name="Генератор" sheetId="45" r:id="rId15"/>
    <sheet name="ПИК и ПИК Lite" sheetId="46" r:id="rId16"/>
    <sheet name="Пульсар" sheetId="47" r:id="rId17"/>
    <sheet name="Рубикон ОШ" sheetId="33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39" l="1"/>
  <c r="E21" i="39" s="1"/>
  <c r="C53" i="39"/>
  <c r="E53" i="39" s="1"/>
  <c r="C8" i="39"/>
  <c r="C22" i="39" s="1"/>
  <c r="E22" i="39" s="1"/>
  <c r="E7" i="39"/>
  <c r="C6" i="39"/>
  <c r="C20" i="39" s="1"/>
  <c r="E20" i="39" s="1"/>
  <c r="C5" i="39"/>
  <c r="C19" i="39" s="1"/>
  <c r="E19" i="39" s="1"/>
  <c r="C4" i="39"/>
  <c r="C18" i="39" s="1"/>
  <c r="E18" i="39" s="1"/>
  <c r="E5" i="57"/>
  <c r="E6" i="57"/>
  <c r="E7" i="57"/>
  <c r="E8" i="57"/>
  <c r="E4" i="56"/>
  <c r="E4" i="57"/>
  <c r="C14" i="57"/>
  <c r="E14" i="57" s="1"/>
  <c r="C13" i="57"/>
  <c r="E13" i="57" s="1"/>
  <c r="C12" i="57"/>
  <c r="E12" i="57" s="1"/>
  <c r="C11" i="57"/>
  <c r="E11" i="57" s="1"/>
  <c r="C10" i="57"/>
  <c r="E10" i="57" s="1"/>
  <c r="E23" i="56"/>
  <c r="E22" i="56"/>
  <c r="E17" i="56"/>
  <c r="E16" i="56"/>
  <c r="E15" i="56"/>
  <c r="E14" i="56"/>
  <c r="E13" i="56"/>
  <c r="E11" i="56"/>
  <c r="E10" i="56"/>
  <c r="E9" i="56"/>
  <c r="E8" i="56"/>
  <c r="E7" i="56"/>
  <c r="E6" i="56"/>
  <c r="E5" i="56"/>
  <c r="E23" i="44"/>
  <c r="E16" i="44"/>
  <c r="E9" i="44"/>
  <c r="E10" i="44"/>
  <c r="E8" i="39" l="1"/>
  <c r="C54" i="39"/>
  <c r="E54" i="39" s="1"/>
  <c r="E6" i="39"/>
  <c r="C52" i="39"/>
  <c r="E52" i="39" s="1"/>
  <c r="E5" i="39"/>
  <c r="C51" i="39"/>
  <c r="E51" i="39" s="1"/>
  <c r="E4" i="39"/>
  <c r="C50" i="39"/>
  <c r="E50" i="39" s="1"/>
  <c r="E4" i="33"/>
  <c r="E4" i="47"/>
  <c r="C11" i="46"/>
  <c r="C10" i="46"/>
  <c r="C5" i="46"/>
  <c r="C4" i="46"/>
  <c r="C8" i="45"/>
  <c r="C4" i="45"/>
  <c r="E16" i="31"/>
  <c r="E14" i="31"/>
  <c r="E12" i="31"/>
  <c r="E11" i="31"/>
  <c r="E10" i="31"/>
  <c r="E9" i="31"/>
  <c r="E7" i="31"/>
  <c r="E6" i="31"/>
  <c r="E5" i="31"/>
  <c r="E4" i="31"/>
  <c r="E22" i="44"/>
  <c r="E17" i="44"/>
  <c r="E15" i="44"/>
  <c r="E14" i="44"/>
  <c r="E13" i="44"/>
  <c r="E11" i="44"/>
  <c r="E8" i="44"/>
  <c r="E7" i="44"/>
  <c r="E6" i="44"/>
  <c r="E5" i="44"/>
  <c r="E4" i="44"/>
  <c r="C52" i="51"/>
  <c r="E33" i="51"/>
  <c r="C32" i="51"/>
  <c r="C31" i="51"/>
  <c r="C30" i="51"/>
  <c r="C12" i="51"/>
  <c r="C44" i="51" s="1"/>
  <c r="C11" i="51"/>
  <c r="C10" i="51"/>
  <c r="C9" i="51"/>
  <c r="C66" i="41"/>
  <c r="E47" i="41"/>
  <c r="C46" i="41"/>
  <c r="C45" i="41"/>
  <c r="C44" i="41"/>
  <c r="C12" i="41"/>
  <c r="C26" i="41" s="1"/>
  <c r="E26" i="41" s="1"/>
  <c r="C11" i="41"/>
  <c r="C25" i="41" s="1"/>
  <c r="E25" i="41" s="1"/>
  <c r="C10" i="41"/>
  <c r="C9" i="41"/>
  <c r="C43" i="50"/>
  <c r="C42" i="50"/>
  <c r="C41" i="50"/>
  <c r="C40" i="50"/>
  <c r="C15" i="50"/>
  <c r="C14" i="50"/>
  <c r="C13" i="50"/>
  <c r="C12" i="50"/>
  <c r="C11" i="50"/>
  <c r="C10" i="50"/>
  <c r="C9" i="50"/>
  <c r="C8" i="50"/>
  <c r="C7" i="50"/>
  <c r="C6" i="50"/>
  <c r="C5" i="50"/>
  <c r="C4" i="50"/>
  <c r="C57" i="40"/>
  <c r="E57" i="40" s="1"/>
  <c r="C56" i="40"/>
  <c r="E56" i="40" s="1"/>
  <c r="C55" i="40"/>
  <c r="E55" i="40" s="1"/>
  <c r="C54" i="40"/>
  <c r="E54" i="40" s="1"/>
  <c r="C15" i="40"/>
  <c r="C14" i="40"/>
  <c r="C13" i="40"/>
  <c r="E13" i="40" s="1"/>
  <c r="C12" i="40"/>
  <c r="C11" i="40"/>
  <c r="E11" i="40" s="1"/>
  <c r="C10" i="40"/>
  <c r="C9" i="40"/>
  <c r="E9" i="40" s="1"/>
  <c r="C8" i="40"/>
  <c r="C7" i="40"/>
  <c r="C6" i="40"/>
  <c r="C5" i="40"/>
  <c r="C4" i="40"/>
  <c r="C4" i="41" s="1"/>
  <c r="C52" i="49"/>
  <c r="E52" i="49" s="1"/>
  <c r="C39" i="49"/>
  <c r="E39" i="49" s="1"/>
  <c r="E33" i="49"/>
  <c r="C32" i="49"/>
  <c r="C31" i="49"/>
  <c r="C50" i="49" s="1"/>
  <c r="E50" i="49" s="1"/>
  <c r="C30" i="49"/>
  <c r="C12" i="49"/>
  <c r="E12" i="49" s="1"/>
  <c r="C11" i="49"/>
  <c r="E11" i="49" s="1"/>
  <c r="C10" i="49"/>
  <c r="C9" i="49"/>
  <c r="C41" i="49" s="1"/>
  <c r="E41" i="49" s="1"/>
  <c r="C8" i="49"/>
  <c r="E8" i="49" s="1"/>
  <c r="E7" i="49"/>
  <c r="C6" i="49"/>
  <c r="C5" i="49"/>
  <c r="C4" i="49"/>
  <c r="E4" i="49" s="1"/>
  <c r="C66" i="39"/>
  <c r="E66" i="39" s="1"/>
  <c r="E47" i="39"/>
  <c r="C46" i="39"/>
  <c r="C45" i="39"/>
  <c r="E45" i="39" s="1"/>
  <c r="C44" i="39"/>
  <c r="C12" i="39"/>
  <c r="C26" i="39" s="1"/>
  <c r="E26" i="39" s="1"/>
  <c r="C11" i="39"/>
  <c r="C25" i="39" s="1"/>
  <c r="E25" i="39" s="1"/>
  <c r="C10" i="39"/>
  <c r="C24" i="39" s="1"/>
  <c r="E24" i="39" s="1"/>
  <c r="C9" i="39"/>
  <c r="C47" i="48"/>
  <c r="C46" i="48"/>
  <c r="C45" i="48"/>
  <c r="C65" i="48" s="1"/>
  <c r="E65" i="48" s="1"/>
  <c r="C44" i="48"/>
  <c r="C17" i="48"/>
  <c r="C16" i="48"/>
  <c r="C15" i="48"/>
  <c r="C14" i="48"/>
  <c r="C79" i="48" s="1"/>
  <c r="E79" i="48" s="1"/>
  <c r="C13" i="48"/>
  <c r="C12" i="48"/>
  <c r="C11" i="48"/>
  <c r="E11" i="48" s="1"/>
  <c r="C10" i="48"/>
  <c r="C75" i="48" s="1"/>
  <c r="E75" i="48" s="1"/>
  <c r="C9" i="48"/>
  <c r="C8" i="48"/>
  <c r="C53" i="48" s="1"/>
  <c r="E53" i="48" s="1"/>
  <c r="C7" i="48"/>
  <c r="C6" i="48"/>
  <c r="C71" i="48" s="1"/>
  <c r="E71" i="48" s="1"/>
  <c r="C5" i="48"/>
  <c r="C4" i="48"/>
  <c r="E4" i="48" s="1"/>
  <c r="C61" i="38"/>
  <c r="C81" i="38" s="1"/>
  <c r="E81" i="38" s="1"/>
  <c r="C60" i="38"/>
  <c r="C59" i="38"/>
  <c r="C58" i="38"/>
  <c r="C78" i="38" s="1"/>
  <c r="E78" i="38" s="1"/>
  <c r="C16" i="38"/>
  <c r="C42" i="38" s="1"/>
  <c r="E42" i="38" s="1"/>
  <c r="C15" i="38"/>
  <c r="E15" i="38" s="1"/>
  <c r="C14" i="38"/>
  <c r="C13" i="38"/>
  <c r="C28" i="38" s="1"/>
  <c r="E28" i="38" s="1"/>
  <c r="C12" i="38"/>
  <c r="C92" i="38" s="1"/>
  <c r="E92" i="38" s="1"/>
  <c r="C11" i="38"/>
  <c r="E11" i="38" s="1"/>
  <c r="C10" i="38"/>
  <c r="C9" i="38"/>
  <c r="C8" i="38"/>
  <c r="C7" i="38"/>
  <c r="C33" i="39" s="1"/>
  <c r="E33" i="39" s="1"/>
  <c r="C6" i="38"/>
  <c r="C32" i="39" s="1"/>
  <c r="E32" i="39" s="1"/>
  <c r="C5" i="38"/>
  <c r="C4" i="38"/>
  <c r="E4" i="38" s="1"/>
  <c r="C43" i="51" l="1"/>
  <c r="E11" i="51"/>
  <c r="C50" i="51"/>
  <c r="E50" i="51" s="1"/>
  <c r="E31" i="51"/>
  <c r="E10" i="51"/>
  <c r="C42" i="51"/>
  <c r="E42" i="51" s="1"/>
  <c r="E9" i="51"/>
  <c r="C41" i="51"/>
  <c r="E41" i="51" s="1"/>
  <c r="C56" i="41"/>
  <c r="C24" i="41"/>
  <c r="E24" i="41" s="1"/>
  <c r="C55" i="41"/>
  <c r="C23" i="41"/>
  <c r="E23" i="41" s="1"/>
  <c r="E43" i="50"/>
  <c r="C61" i="50"/>
  <c r="E61" i="50" s="1"/>
  <c r="E42" i="50"/>
  <c r="E41" i="50"/>
  <c r="E8" i="40"/>
  <c r="C8" i="41"/>
  <c r="E7" i="40"/>
  <c r="C63" i="40"/>
  <c r="E63" i="40" s="1"/>
  <c r="C7" i="41"/>
  <c r="C20" i="40"/>
  <c r="E20" i="40" s="1"/>
  <c r="C6" i="41"/>
  <c r="E5" i="40"/>
  <c r="C5" i="41"/>
  <c r="C31" i="41"/>
  <c r="E4" i="41"/>
  <c r="C50" i="41"/>
  <c r="C18" i="41"/>
  <c r="E18" i="41" s="1"/>
  <c r="E32" i="49"/>
  <c r="C51" i="49"/>
  <c r="E51" i="49" s="1"/>
  <c r="C49" i="49"/>
  <c r="E49" i="49" s="1"/>
  <c r="E30" i="49"/>
  <c r="E10" i="49"/>
  <c r="C42" i="49"/>
  <c r="E42" i="49" s="1"/>
  <c r="E6" i="49"/>
  <c r="C38" i="49"/>
  <c r="E38" i="49" s="1"/>
  <c r="E9" i="39"/>
  <c r="C23" i="39"/>
  <c r="E23" i="39" s="1"/>
  <c r="C66" i="48"/>
  <c r="E66" i="48" s="1"/>
  <c r="E46" i="48"/>
  <c r="C64" i="48"/>
  <c r="E64" i="48" s="1"/>
  <c r="E44" i="48"/>
  <c r="C28" i="48"/>
  <c r="E28" i="48" s="1"/>
  <c r="E17" i="48"/>
  <c r="C42" i="48"/>
  <c r="E42" i="48" s="1"/>
  <c r="C60" i="48"/>
  <c r="E60" i="48" s="1"/>
  <c r="C80" i="48"/>
  <c r="E80" i="48" s="1"/>
  <c r="E15" i="48"/>
  <c r="C78" i="48"/>
  <c r="E78" i="48" s="1"/>
  <c r="C38" i="48"/>
  <c r="E38" i="48" s="1"/>
  <c r="C27" i="48"/>
  <c r="E27" i="48" s="1"/>
  <c r="E13" i="48"/>
  <c r="C56" i="48"/>
  <c r="E56" i="48" s="1"/>
  <c r="C76" i="48"/>
  <c r="E76" i="48" s="1"/>
  <c r="C25" i="48"/>
  <c r="E25" i="48" s="1"/>
  <c r="C74" i="48"/>
  <c r="E74" i="48" s="1"/>
  <c r="C23" i="48"/>
  <c r="E23" i="48" s="1"/>
  <c r="C34" i="48"/>
  <c r="E34" i="48" s="1"/>
  <c r="E9" i="48"/>
  <c r="C52" i="48"/>
  <c r="E52" i="48" s="1"/>
  <c r="C72" i="48"/>
  <c r="E72" i="48" s="1"/>
  <c r="E7" i="48"/>
  <c r="C21" i="48"/>
  <c r="E21" i="48" s="1"/>
  <c r="C70" i="48"/>
  <c r="E70" i="48" s="1"/>
  <c r="E5" i="48"/>
  <c r="C30" i="48"/>
  <c r="E30" i="48" s="1"/>
  <c r="C89" i="38"/>
  <c r="E89" i="38" s="1"/>
  <c r="C38" i="38"/>
  <c r="E38" i="38" s="1"/>
  <c r="C35" i="39"/>
  <c r="E35" i="39" s="1"/>
  <c r="E8" i="38"/>
  <c r="C34" i="39"/>
  <c r="E34" i="39" s="1"/>
  <c r="C34" i="38"/>
  <c r="E34" i="38" s="1"/>
  <c r="C31" i="39"/>
  <c r="E31" i="39" s="1"/>
  <c r="E46" i="39"/>
  <c r="C65" i="39"/>
  <c r="E65" i="39" s="1"/>
  <c r="E44" i="39"/>
  <c r="C63" i="39"/>
  <c r="E63" i="39" s="1"/>
  <c r="E12" i="39"/>
  <c r="C58" i="39"/>
  <c r="E58" i="39" s="1"/>
  <c r="C57" i="39"/>
  <c r="E57" i="39" s="1"/>
  <c r="E11" i="39"/>
  <c r="C63" i="41"/>
  <c r="E44" i="41"/>
  <c r="C58" i="41"/>
  <c r="E12" i="41"/>
  <c r="C57" i="41"/>
  <c r="E11" i="41"/>
  <c r="C71" i="40"/>
  <c r="E71" i="40" s="1"/>
  <c r="E15" i="40"/>
  <c r="C52" i="40"/>
  <c r="E52" i="40" s="1"/>
  <c r="C39" i="40"/>
  <c r="E39" i="40" s="1"/>
  <c r="C31" i="40"/>
  <c r="E31" i="40" s="1"/>
  <c r="C44" i="40"/>
  <c r="E44" i="40" s="1"/>
  <c r="C80" i="38"/>
  <c r="E80" i="38" s="1"/>
  <c r="E60" i="38"/>
  <c r="C79" i="38"/>
  <c r="E79" i="38" s="1"/>
  <c r="E59" i="38"/>
  <c r="C13" i="49"/>
  <c r="C74" i="38"/>
  <c r="E74" i="38" s="1"/>
  <c r="C29" i="38"/>
  <c r="E29" i="38" s="1"/>
  <c r="E14" i="38"/>
  <c r="C90" i="38"/>
  <c r="E90" i="38" s="1"/>
  <c r="C25" i="38"/>
  <c r="E25" i="38" s="1"/>
  <c r="E10" i="38"/>
  <c r="C20" i="49"/>
  <c r="E20" i="49" s="1"/>
  <c r="C88" i="38"/>
  <c r="E88" i="38" s="1"/>
  <c r="C37" i="38"/>
  <c r="E37" i="38" s="1"/>
  <c r="C68" i="38"/>
  <c r="E68" i="38" s="1"/>
  <c r="C23" i="38"/>
  <c r="E23" i="38" s="1"/>
  <c r="C48" i="38"/>
  <c r="E48" i="38" s="1"/>
  <c r="C45" i="49"/>
  <c r="E45" i="49" s="1"/>
  <c r="E13" i="49"/>
  <c r="C26" i="49"/>
  <c r="E26" i="49" s="1"/>
  <c r="C84" i="38"/>
  <c r="E84" i="38" s="1"/>
  <c r="C33" i="38"/>
  <c r="E33" i="38" s="1"/>
  <c r="C64" i="38"/>
  <c r="E64" i="38" s="1"/>
  <c r="C19" i="38"/>
  <c r="E19" i="38" s="1"/>
  <c r="C44" i="38"/>
  <c r="E44" i="38" s="1"/>
  <c r="E5" i="38"/>
  <c r="C86" i="38"/>
  <c r="E86" i="38" s="1"/>
  <c r="C46" i="38"/>
  <c r="E46" i="38" s="1"/>
  <c r="C35" i="38"/>
  <c r="E35" i="38" s="1"/>
  <c r="C66" i="38"/>
  <c r="E66" i="38" s="1"/>
  <c r="E6" i="38"/>
  <c r="C91" i="38"/>
  <c r="E91" i="38" s="1"/>
  <c r="C40" i="38"/>
  <c r="E40" i="38" s="1"/>
  <c r="C71" i="38"/>
  <c r="E71" i="38" s="1"/>
  <c r="C26" i="38"/>
  <c r="E26" i="38" s="1"/>
  <c r="C51" i="38"/>
  <c r="E51" i="38" s="1"/>
  <c r="C87" i="38"/>
  <c r="E87" i="38" s="1"/>
  <c r="C36" i="38"/>
  <c r="E36" i="38" s="1"/>
  <c r="C67" i="38"/>
  <c r="E67" i="38" s="1"/>
  <c r="C22" i="38"/>
  <c r="E22" i="38" s="1"/>
  <c r="C47" i="38"/>
  <c r="E47" i="38" s="1"/>
  <c r="C65" i="38"/>
  <c r="E65" i="38" s="1"/>
  <c r="C20" i="38"/>
  <c r="E20" i="38" s="1"/>
  <c r="C45" i="38"/>
  <c r="E45" i="38" s="1"/>
  <c r="C85" i="38"/>
  <c r="E85" i="38" s="1"/>
  <c r="E7" i="38"/>
  <c r="C14" i="49"/>
  <c r="C95" i="38"/>
  <c r="E95" i="38" s="1"/>
  <c r="C75" i="38"/>
  <c r="E75" i="38" s="1"/>
  <c r="C30" i="38"/>
  <c r="E30" i="38" s="1"/>
  <c r="C14" i="39"/>
  <c r="C28" i="39" s="1"/>
  <c r="E28" i="39" s="1"/>
  <c r="C55" i="38"/>
  <c r="E55" i="38" s="1"/>
  <c r="C21" i="38"/>
  <c r="E21" i="38" s="1"/>
  <c r="C37" i="39"/>
  <c r="E37" i="39" s="1"/>
  <c r="E10" i="39"/>
  <c r="C38" i="39"/>
  <c r="E38" i="39" s="1"/>
  <c r="C56" i="39"/>
  <c r="E56" i="39" s="1"/>
  <c r="C70" i="38"/>
  <c r="E70" i="38" s="1"/>
  <c r="C37" i="48"/>
  <c r="E37" i="48" s="1"/>
  <c r="C77" i="48"/>
  <c r="E77" i="48" s="1"/>
  <c r="C26" i="48"/>
  <c r="E26" i="48" s="1"/>
  <c r="E12" i="48"/>
  <c r="C14" i="51"/>
  <c r="C14" i="41"/>
  <c r="C28" i="41" s="1"/>
  <c r="E28" i="41" s="1"/>
  <c r="C70" i="40"/>
  <c r="E70" i="40" s="1"/>
  <c r="C41" i="40"/>
  <c r="E41" i="40" s="1"/>
  <c r="C28" i="40"/>
  <c r="E28" i="40" s="1"/>
  <c r="E14" i="40"/>
  <c r="C19" i="49"/>
  <c r="E19" i="49" s="1"/>
  <c r="C15" i="49"/>
  <c r="C96" i="38"/>
  <c r="E96" i="38" s="1"/>
  <c r="C76" i="38"/>
  <c r="E76" i="38" s="1"/>
  <c r="C15" i="39"/>
  <c r="C29" i="39" s="1"/>
  <c r="E29" i="39" s="1"/>
  <c r="C39" i="38"/>
  <c r="E39" i="38" s="1"/>
  <c r="C52" i="38"/>
  <c r="E52" i="38" s="1"/>
  <c r="C56" i="38"/>
  <c r="E56" i="38" s="1"/>
  <c r="C41" i="48"/>
  <c r="E41" i="48" s="1"/>
  <c r="C81" i="48"/>
  <c r="E81" i="48" s="1"/>
  <c r="E16" i="48"/>
  <c r="C36" i="39"/>
  <c r="E36" i="39" s="1"/>
  <c r="E12" i="38"/>
  <c r="E16" i="38"/>
  <c r="E61" i="38"/>
  <c r="C61" i="48"/>
  <c r="E61" i="48" s="1"/>
  <c r="C27" i="38"/>
  <c r="E27" i="38" s="1"/>
  <c r="C31" i="38"/>
  <c r="E31" i="38" s="1"/>
  <c r="C49" i="38"/>
  <c r="E49" i="38" s="1"/>
  <c r="C53" i="38"/>
  <c r="E53" i="38" s="1"/>
  <c r="C72" i="38"/>
  <c r="E72" i="38" s="1"/>
  <c r="C73" i="38"/>
  <c r="E73" i="38" s="1"/>
  <c r="C57" i="48"/>
  <c r="E57" i="48" s="1"/>
  <c r="C22" i="49"/>
  <c r="E22" i="49" s="1"/>
  <c r="E9" i="38"/>
  <c r="E13" i="38"/>
  <c r="E58" i="38"/>
  <c r="C93" i="38"/>
  <c r="E93" i="38" s="1"/>
  <c r="C13" i="39"/>
  <c r="C27" i="39" s="1"/>
  <c r="E27" i="39" s="1"/>
  <c r="C94" i="38"/>
  <c r="E94" i="38" s="1"/>
  <c r="C24" i="38"/>
  <c r="E24" i="38" s="1"/>
  <c r="C41" i="38"/>
  <c r="E41" i="38" s="1"/>
  <c r="C50" i="38"/>
  <c r="E50" i="38" s="1"/>
  <c r="C54" i="38"/>
  <c r="E54" i="38" s="1"/>
  <c r="C69" i="38"/>
  <c r="E69" i="38" s="1"/>
  <c r="C33" i="48"/>
  <c r="E33" i="48" s="1"/>
  <c r="C73" i="48"/>
  <c r="E73" i="48" s="1"/>
  <c r="C22" i="48"/>
  <c r="E22" i="48" s="1"/>
  <c r="E8" i="48"/>
  <c r="C67" i="48"/>
  <c r="E67" i="48" s="1"/>
  <c r="E47" i="48"/>
  <c r="C55" i="39"/>
  <c r="E55" i="39" s="1"/>
  <c r="C64" i="39"/>
  <c r="E64" i="39" s="1"/>
  <c r="C17" i="49"/>
  <c r="E17" i="49" s="1"/>
  <c r="C31" i="48"/>
  <c r="E31" i="48" s="1"/>
  <c r="C35" i="48"/>
  <c r="E35" i="48" s="1"/>
  <c r="C39" i="48"/>
  <c r="E39" i="48" s="1"/>
  <c r="C50" i="48"/>
  <c r="E50" i="48" s="1"/>
  <c r="C54" i="48"/>
  <c r="E54" i="48" s="1"/>
  <c r="C58" i="48"/>
  <c r="E58" i="48" s="1"/>
  <c r="C62" i="48"/>
  <c r="E62" i="48" s="1"/>
  <c r="C39" i="39"/>
  <c r="E39" i="39" s="1"/>
  <c r="C6" i="51"/>
  <c r="C62" i="40"/>
  <c r="E62" i="40" s="1"/>
  <c r="C46" i="40"/>
  <c r="E46" i="40" s="1"/>
  <c r="C33" i="40"/>
  <c r="E33" i="40" s="1"/>
  <c r="E6" i="40"/>
  <c r="C37" i="41"/>
  <c r="C66" i="40"/>
  <c r="E66" i="40" s="1"/>
  <c r="C50" i="40"/>
  <c r="E50" i="40" s="1"/>
  <c r="C37" i="40"/>
  <c r="E37" i="40" s="1"/>
  <c r="C24" i="40"/>
  <c r="E24" i="40" s="1"/>
  <c r="E10" i="40"/>
  <c r="C19" i="48"/>
  <c r="E19" i="48" s="1"/>
  <c r="C32" i="48"/>
  <c r="E32" i="48" s="1"/>
  <c r="C36" i="48"/>
  <c r="E36" i="48" s="1"/>
  <c r="C40" i="48"/>
  <c r="E40" i="48" s="1"/>
  <c r="C51" i="48"/>
  <c r="E51" i="48" s="1"/>
  <c r="C55" i="48"/>
  <c r="E55" i="48" s="1"/>
  <c r="C59" i="48"/>
  <c r="E59" i="48" s="1"/>
  <c r="C82" i="48"/>
  <c r="E82" i="48" s="1"/>
  <c r="E6" i="48"/>
  <c r="E10" i="48"/>
  <c r="E14" i="48"/>
  <c r="E45" i="48"/>
  <c r="C37" i="49"/>
  <c r="E37" i="49" s="1"/>
  <c r="E5" i="49"/>
  <c r="E9" i="49"/>
  <c r="C18" i="49"/>
  <c r="E18" i="49" s="1"/>
  <c r="C20" i="48"/>
  <c r="E20" i="48" s="1"/>
  <c r="C24" i="48"/>
  <c r="E24" i="48" s="1"/>
  <c r="C25" i="49"/>
  <c r="E25" i="49" s="1"/>
  <c r="E31" i="49"/>
  <c r="C23" i="49"/>
  <c r="E23" i="49" s="1"/>
  <c r="C28" i="50"/>
  <c r="C57" i="50"/>
  <c r="E15" i="50"/>
  <c r="C43" i="49"/>
  <c r="E43" i="49" s="1"/>
  <c r="C7" i="51"/>
  <c r="C47" i="40"/>
  <c r="E47" i="40" s="1"/>
  <c r="C34" i="40"/>
  <c r="E34" i="40" s="1"/>
  <c r="C51" i="40"/>
  <c r="E51" i="40" s="1"/>
  <c r="C38" i="40"/>
  <c r="E38" i="40" s="1"/>
  <c r="C25" i="40"/>
  <c r="E25" i="40" s="1"/>
  <c r="C15" i="51"/>
  <c r="C15" i="41"/>
  <c r="C29" i="41" s="1"/>
  <c r="E29" i="41" s="1"/>
  <c r="C42" i="40"/>
  <c r="E42" i="40" s="1"/>
  <c r="C29" i="40"/>
  <c r="E29" i="40" s="1"/>
  <c r="C21" i="40"/>
  <c r="E21" i="40" s="1"/>
  <c r="C24" i="49"/>
  <c r="E24" i="49" s="1"/>
  <c r="C33" i="50"/>
  <c r="C49" i="50"/>
  <c r="C20" i="50"/>
  <c r="E7" i="50"/>
  <c r="C36" i="49"/>
  <c r="E36" i="49" s="1"/>
  <c r="C40" i="49"/>
  <c r="E40" i="49" s="1"/>
  <c r="C44" i="49"/>
  <c r="E44" i="49" s="1"/>
  <c r="C4" i="51"/>
  <c r="C60" i="40"/>
  <c r="E60" i="40" s="1"/>
  <c r="C8" i="51"/>
  <c r="C64" i="40"/>
  <c r="E64" i="40" s="1"/>
  <c r="C25" i="51"/>
  <c r="C68" i="40"/>
  <c r="E68" i="40" s="1"/>
  <c r="C18" i="40"/>
  <c r="E18" i="40" s="1"/>
  <c r="C22" i="40"/>
  <c r="E22" i="40" s="1"/>
  <c r="C26" i="40"/>
  <c r="E26" i="40" s="1"/>
  <c r="C67" i="40"/>
  <c r="E67" i="40" s="1"/>
  <c r="C21" i="49"/>
  <c r="E21" i="49" s="1"/>
  <c r="E4" i="40"/>
  <c r="E12" i="40"/>
  <c r="C48" i="40"/>
  <c r="E48" i="40" s="1"/>
  <c r="C5" i="51"/>
  <c r="C61" i="40"/>
  <c r="E61" i="40" s="1"/>
  <c r="C45" i="40"/>
  <c r="E45" i="40" s="1"/>
  <c r="C32" i="40"/>
  <c r="E32" i="40" s="1"/>
  <c r="C65" i="40"/>
  <c r="E65" i="40" s="1"/>
  <c r="C49" i="40"/>
  <c r="E49" i="40" s="1"/>
  <c r="C36" i="40"/>
  <c r="E36" i="40" s="1"/>
  <c r="C13" i="51"/>
  <c r="C13" i="41"/>
  <c r="C27" i="41" s="1"/>
  <c r="E27" i="41" s="1"/>
  <c r="C69" i="40"/>
  <c r="E69" i="40" s="1"/>
  <c r="C40" i="40"/>
  <c r="E40" i="40" s="1"/>
  <c r="C27" i="40"/>
  <c r="E27" i="40" s="1"/>
  <c r="C19" i="40"/>
  <c r="E19" i="40" s="1"/>
  <c r="C23" i="40"/>
  <c r="E23" i="40" s="1"/>
  <c r="C35" i="40"/>
  <c r="E35" i="40" s="1"/>
  <c r="C76" i="40"/>
  <c r="E76" i="40" s="1"/>
  <c r="C37" i="50"/>
  <c r="C24" i="50"/>
  <c r="C53" i="50"/>
  <c r="E11" i="50"/>
  <c r="C73" i="40"/>
  <c r="E73" i="40" s="1"/>
  <c r="C46" i="50"/>
  <c r="C30" i="50"/>
  <c r="C50" i="50"/>
  <c r="C34" i="50"/>
  <c r="C54" i="50"/>
  <c r="C38" i="50"/>
  <c r="C17" i="50"/>
  <c r="E4" i="50"/>
  <c r="E8" i="50"/>
  <c r="E12" i="50"/>
  <c r="E66" i="41"/>
  <c r="C49" i="51"/>
  <c r="E30" i="51"/>
  <c r="C74" i="40"/>
  <c r="E74" i="40" s="1"/>
  <c r="C47" i="50"/>
  <c r="C31" i="50"/>
  <c r="C51" i="50"/>
  <c r="C35" i="50"/>
  <c r="C22" i="50"/>
  <c r="C55" i="50"/>
  <c r="C26" i="50"/>
  <c r="C18" i="50"/>
  <c r="E5" i="50"/>
  <c r="E9" i="50"/>
  <c r="E13" i="50"/>
  <c r="C75" i="40"/>
  <c r="E75" i="40" s="1"/>
  <c r="C48" i="50"/>
  <c r="C32" i="50"/>
  <c r="C52" i="50"/>
  <c r="C36" i="50"/>
  <c r="C23" i="50"/>
  <c r="C56" i="50"/>
  <c r="C27" i="50"/>
  <c r="C19" i="50"/>
  <c r="C21" i="50"/>
  <c r="C25" i="50"/>
  <c r="E6" i="50"/>
  <c r="E10" i="50"/>
  <c r="E14" i="50"/>
  <c r="C38" i="41"/>
  <c r="C62" i="50"/>
  <c r="C36" i="41"/>
  <c r="C64" i="41"/>
  <c r="C65" i="41"/>
  <c r="C59" i="50"/>
  <c r="E55" i="41"/>
  <c r="E45" i="41"/>
  <c r="E46" i="41"/>
  <c r="C23" i="51"/>
  <c r="E40" i="50"/>
  <c r="E9" i="41"/>
  <c r="E32" i="51"/>
  <c r="C60" i="50"/>
  <c r="E10" i="41"/>
  <c r="E56" i="41"/>
  <c r="C51" i="51"/>
  <c r="C39" i="41"/>
  <c r="E43" i="51"/>
  <c r="C24" i="51"/>
  <c r="E44" i="51"/>
  <c r="E12" i="51"/>
  <c r="C22" i="51"/>
  <c r="E52" i="51"/>
  <c r="E31" i="41" l="1"/>
  <c r="C35" i="41"/>
  <c r="E8" i="41"/>
  <c r="C54" i="41"/>
  <c r="C22" i="41"/>
  <c r="E22" i="41" s="1"/>
  <c r="E7" i="41"/>
  <c r="C34" i="41"/>
  <c r="C53" i="41"/>
  <c r="C21" i="41"/>
  <c r="E21" i="41" s="1"/>
  <c r="E6" i="41"/>
  <c r="C33" i="41"/>
  <c r="C52" i="41"/>
  <c r="C20" i="41"/>
  <c r="E20" i="41" s="1"/>
  <c r="C32" i="41"/>
  <c r="E5" i="41"/>
  <c r="C51" i="41"/>
  <c r="C19" i="41"/>
  <c r="E19" i="41" s="1"/>
  <c r="E50" i="41"/>
  <c r="E63" i="41"/>
  <c r="E58" i="41"/>
  <c r="E57" i="41"/>
  <c r="E22" i="51"/>
  <c r="E24" i="51"/>
  <c r="E23" i="51"/>
  <c r="E59" i="50"/>
  <c r="E65" i="41"/>
  <c r="E21" i="50"/>
  <c r="E52" i="50"/>
  <c r="E38" i="50"/>
  <c r="C28" i="51"/>
  <c r="C47" i="51"/>
  <c r="E15" i="51"/>
  <c r="C61" i="39"/>
  <c r="E61" i="39" s="1"/>
  <c r="C42" i="39"/>
  <c r="E42" i="39" s="1"/>
  <c r="E15" i="39"/>
  <c r="E60" i="50"/>
  <c r="E38" i="41"/>
  <c r="E19" i="50"/>
  <c r="E22" i="50"/>
  <c r="E54" i="50"/>
  <c r="C59" i="41"/>
  <c r="E13" i="41"/>
  <c r="C40" i="41"/>
  <c r="E5" i="51"/>
  <c r="C18" i="51"/>
  <c r="C37" i="51"/>
  <c r="C19" i="51"/>
  <c r="C38" i="51"/>
  <c r="E6" i="51"/>
  <c r="C40" i="39"/>
  <c r="E40" i="39" s="1"/>
  <c r="C59" i="39"/>
  <c r="E59" i="39" s="1"/>
  <c r="E13" i="39"/>
  <c r="E64" i="41"/>
  <c r="E27" i="50"/>
  <c r="E35" i="50"/>
  <c r="E49" i="51"/>
  <c r="E34" i="50"/>
  <c r="C45" i="51"/>
  <c r="E13" i="51"/>
  <c r="C26" i="51"/>
  <c r="C36" i="51"/>
  <c r="E4" i="51"/>
  <c r="C17" i="51"/>
  <c r="C60" i="41"/>
  <c r="E14" i="41"/>
  <c r="C41" i="41"/>
  <c r="E56" i="50"/>
  <c r="E32" i="50"/>
  <c r="E51" i="50"/>
  <c r="E50" i="50"/>
  <c r="E15" i="49"/>
  <c r="C28" i="49"/>
  <c r="E28" i="49" s="1"/>
  <c r="C47" i="49"/>
  <c r="E47" i="49" s="1"/>
  <c r="C27" i="51"/>
  <c r="C46" i="51"/>
  <c r="E14" i="51"/>
  <c r="C41" i="39"/>
  <c r="E41" i="39" s="1"/>
  <c r="E14" i="39"/>
  <c r="C60" i="39"/>
  <c r="E60" i="39" s="1"/>
  <c r="E62" i="50"/>
  <c r="E48" i="50"/>
  <c r="E30" i="50"/>
  <c r="E53" i="50"/>
  <c r="E25" i="51"/>
  <c r="E20" i="50"/>
  <c r="E37" i="41"/>
  <c r="E39" i="41"/>
  <c r="E18" i="50"/>
  <c r="E31" i="50"/>
  <c r="E46" i="50"/>
  <c r="E24" i="50"/>
  <c r="E49" i="50"/>
  <c r="E57" i="50"/>
  <c r="E51" i="51"/>
  <c r="E23" i="50"/>
  <c r="E26" i="50"/>
  <c r="E47" i="50"/>
  <c r="E37" i="50"/>
  <c r="E33" i="50"/>
  <c r="C39" i="51"/>
  <c r="C20" i="51"/>
  <c r="E7" i="51"/>
  <c r="E28" i="50"/>
  <c r="E36" i="41"/>
  <c r="E25" i="50"/>
  <c r="E36" i="50"/>
  <c r="E55" i="50"/>
  <c r="E17" i="50"/>
  <c r="C40" i="51"/>
  <c r="E8" i="51"/>
  <c r="C21" i="51"/>
  <c r="C42" i="41"/>
  <c r="C61" i="41"/>
  <c r="E15" i="41"/>
  <c r="E14" i="49"/>
  <c r="C27" i="49"/>
  <c r="E27" i="49" s="1"/>
  <c r="C46" i="49"/>
  <c r="E46" i="49" s="1"/>
  <c r="E35" i="41" l="1"/>
  <c r="E54" i="41"/>
  <c r="E34" i="41"/>
  <c r="E53" i="41"/>
  <c r="E33" i="41"/>
  <c r="E52" i="41"/>
  <c r="E32" i="41"/>
  <c r="E51" i="41"/>
  <c r="E26" i="51"/>
  <c r="E38" i="51"/>
  <c r="E20" i="51"/>
  <c r="E19" i="51"/>
  <c r="E61" i="41"/>
  <c r="E39" i="51"/>
  <c r="E41" i="41"/>
  <c r="E45" i="51"/>
  <c r="E37" i="51"/>
  <c r="E42" i="41"/>
  <c r="E46" i="51"/>
  <c r="E18" i="51"/>
  <c r="E21" i="51"/>
  <c r="E27" i="51"/>
  <c r="E60" i="41"/>
  <c r="E17" i="51"/>
  <c r="E40" i="41"/>
  <c r="E47" i="51"/>
  <c r="E40" i="51"/>
  <c r="E28" i="51"/>
  <c r="E36" i="51"/>
  <c r="E59" i="41"/>
</calcChain>
</file>

<file path=xl/sharedStrings.xml><?xml version="1.0" encoding="utf-8"?>
<sst xmlns="http://schemas.openxmlformats.org/spreadsheetml/2006/main" count="1916" uniqueCount="1238">
  <si>
    <t>Прайс-лист</t>
  </si>
  <si>
    <t xml:space="preserve">Средство анализа защищенности «Сканер-ВС» 7 BASE. Сертификат ФСТЭК </t>
  </si>
  <si>
    <t xml:space="preserve">Средство анализа защищенности «Сканер-ВС» 7 Enterprise. Сертификат ФСТЭК </t>
  </si>
  <si>
    <t xml:space="preserve">Средство анализа защищенности «Сканер-ВС» 7 включает компонент "Инспектор". Сертификат ФСТЭК </t>
  </si>
  <si>
    <t xml:space="preserve">Средство анализа защищенности «Сканер-ВС» 7 Enterprise включает компонент "Инспектор" . Сертификат ФСТЭК </t>
  </si>
  <si>
    <t>Анализатор исходных текстов программ «АК-ВС 3» без сертфиката соответствия.</t>
  </si>
  <si>
    <t>Анализатор исходных текстов программ «АК-ВС 3» сертификатом МО РФ</t>
  </si>
  <si>
    <t>Программный генератор паролей "Генератор". Сертификат МО РФ</t>
  </si>
  <si>
    <t>Программа инспекционного контроля "ПИК-Эшелон" и "ПИК-Эшелон" версия Lite. Сертификат МО РФ</t>
  </si>
  <si>
    <t>Генератор шума "Пульсар". Сертификат ФСТЭК / МО РФ</t>
  </si>
  <si>
    <t>ПАК КП ПАВ «Рубикон» с функцией однонаправленного шлюза</t>
  </si>
  <si>
    <t>Артикул</t>
  </si>
  <si>
    <t>Наименование</t>
  </si>
  <si>
    <t>Стоимость</t>
  </si>
  <si>
    <t>Описание</t>
  </si>
  <si>
    <t>Основные лицензии (без НДС)</t>
  </si>
  <si>
    <t>Установочный комплект (НДС 22%)</t>
  </si>
  <si>
    <t>ПРОДЛЕНИЕ</t>
  </si>
  <si>
    <t>Цена</t>
  </si>
  <si>
    <t xml:space="preserve">Количество </t>
  </si>
  <si>
    <t>Стоимость РРЦ</t>
  </si>
  <si>
    <t>SCANER-VS-7-04-B-F</t>
  </si>
  <si>
    <t>Средство анализа защищенности «Сканер-ВС». НПЕШ.00606-01. Лицензия на 4 IP адреса на 1 год (рег. № 231)</t>
  </si>
  <si>
    <t>Лицензия ПО «Сканер-ВС» на 1 год. 1 год обновления базы уязвимостей и технической поддержки.
Сертификат ФСТЭК России по 4 уровню доверия.</t>
  </si>
  <si>
    <t>SCANER-VS-7-08-B-F</t>
  </si>
  <si>
    <t>Средство  анализа защищенности «Сканер-ВС». НПЕШ.00606-01. Лицензия на 8 IP адресов на 1 год (рег. № 231)</t>
  </si>
  <si>
    <r>
      <t>Лицензия ПО «Сканер-ВС» на 1 год. 1 год обновления базы уязвимостей и технической поддержки.
Сертификат ФСТЭК России</t>
    </r>
    <r>
      <rPr>
        <sz val="7"/>
        <color theme="1"/>
        <rFont val="Microsoft Tai Le"/>
        <family val="2"/>
      </rPr>
      <t xml:space="preserve"> по 4 уровню доверия.</t>
    </r>
  </si>
  <si>
    <t>SCANER-VS-7-16-B-F</t>
  </si>
  <si>
    <t>Средство  анализа защищенности «Сканер-ВС». НПЕШ.00606-01. Лицензия на 16 IP адресов на 1 год (рег. № 231)</t>
  </si>
  <si>
    <t>SCANER-VS-7-32-B-F</t>
  </si>
  <si>
    <t>Средство анализа защищенности «Сканер-ВС». НПЕШ.00606-01. Лицензия на 32 IP адреса на 1 год (рег. № 231)</t>
  </si>
  <si>
    <t>SCANER-VS-7-64-B-F</t>
  </si>
  <si>
    <t>Средство  анализа защищенности «Сканер-ВС». НПЕШ.00606-01. Лицензия на 64 IP адреса на 1 год (рег. № 231)</t>
  </si>
  <si>
    <t>SCANER-VS-7-128-B-F</t>
  </si>
  <si>
    <t>Средство  анализа защищенности «Сканер-ВС». НПЕШ.00606-01. Лицензия на 128 IP адресов на 1 год (рег. № 231)</t>
  </si>
  <si>
    <t>SCANER-VS-7-256-B-F</t>
  </si>
  <si>
    <t>Средство  анализа защищенности «Сканер-ВС». НПЕШ.00606-01. Лицензия на 256 IP адресов на 1 год (рег. № 231)</t>
  </si>
  <si>
    <t>SCANER-VS-7-512-B-F</t>
  </si>
  <si>
    <t>Средство  анализа защищенности «Сканер-ВС». НПЕШ.00606-01. Лицензия на 512 IP адресов на 1 год (рег. № 231)</t>
  </si>
  <si>
    <t>SCANER-VS-7-1024-B-F</t>
  </si>
  <si>
    <t>Средство  анализа защищенности «Сканер-ВС». НПЕШ.00606-01. Лицензия на 1024 IP адреса на 1 год (рег. № 231)</t>
  </si>
  <si>
    <t>SCANER-VS-7-2048-B-F</t>
  </si>
  <si>
    <t>SCANER-VS-7-4096-B-F</t>
  </si>
  <si>
    <t>SCANER-VS-7-8192-B-F</t>
  </si>
  <si>
    <t>Средство  анализа защищенности «Сканер-ВС». НПЕШ.00606-01. Лицензия на 8192 IP адреса на 1 год (рег. № 231)</t>
  </si>
  <si>
    <t>SCANER-VS-7-UNL-B-F</t>
  </si>
  <si>
    <t xml:space="preserve"> Средство  анализа защищенности «Сканер-ВС». НПЕШ.00606-01. Лицензия без ограничения IP адресов на 1 год (рег. № 231)</t>
  </si>
  <si>
    <t>Партнерская скидка распространяется на Средство анализа защищенности «Сканер-ВС»</t>
  </si>
  <si>
    <t>SCANER-VS-7-04-B-F-AL</t>
  </si>
  <si>
    <t>Средство анализа защищенности «Сканер-ВС». НПЕШ.00606-01. Лицензия на 4 IP адреса на 1 год c OC CH ALSE (рег. № 231)</t>
  </si>
  <si>
    <t>Лицензия ПО «Сканер-ВС» на 1 год. 1 год обновления базы уязвимостей и технической поддержки.
Сертификат ФСТЭК России по 4 уровню доверия. Лицензия OC CH ALSE, USB-накопитель 256/512 GB.</t>
  </si>
  <si>
    <t>SCANER-VS-7-08-B-F-AL</t>
  </si>
  <si>
    <t>Средство  анализа защищенности «Сканер-ВС». НПЕШ.00606-01. Лицензия на 8 IP адресов на 1 год c OC CH ALSE (рег. № 231)</t>
  </si>
  <si>
    <t>SCANER-VS-7-16-B-F-AL</t>
  </si>
  <si>
    <t>Средство  анализа защищенности «Сканер-ВС». НПЕШ.00606-01. Лицензия на 16 IP адресов на 1 год c OC CH ALSE (рег. № 231)</t>
  </si>
  <si>
    <t>SCANER-VS-7-32-B-F-AL</t>
  </si>
  <si>
    <t>Средство анализа защищенности «Сканер-ВС». НПЕШ.00606-01. Лицензия на 32 IP адреса на 1 год c OC CH ALSE (рег. № 231)</t>
  </si>
  <si>
    <t>SCANER-VS-7-64-B-F-AL</t>
  </si>
  <si>
    <t>Средство  анализа защищенности «Сканер-ВС». НПЕШ.00606-01. Лицензия на 64 IP адреса на 1 год c OC CH ALSE (рег. № 231)</t>
  </si>
  <si>
    <t>SCANER-VS-7-128-B-F-AL</t>
  </si>
  <si>
    <t>Средство  анализа защищенности «Сканер-ВС». НПЕШ.00606-01. Лицензия на 128 IP адресов на 1 год  c OC CH ALSE (рег. № 231)</t>
  </si>
  <si>
    <t>SCANER-VS-7-256-B-F-AL</t>
  </si>
  <si>
    <t>Средство  анализа защищенности «Сканер-ВС». НПЕШ.00606-01. Лицензия на 256 IP адресов на 1 год  c OC CH ALSE (рег. № 231)</t>
  </si>
  <si>
    <t>SCANER-VS-7-512-B-F-AL</t>
  </si>
  <si>
    <t>Средство  анализа защищенности «Сканер-ВС». НПЕШ.00606-01. Лицензия на 512 IP адресов на 1 год  c OC CH ALSE (рег. № 231)</t>
  </si>
  <si>
    <t>SCANER-VS-7-1024-B-F-AL</t>
  </si>
  <si>
    <t>Средство  анализа защищенности «Сканер-ВС». НПЕШ.00606-01. Лицензия на 1024 IP адреса на 1 год  c OC CH ALSE (рег. № 231)</t>
  </si>
  <si>
    <t>SCANER-VS-7-2048-B-F-AL</t>
  </si>
  <si>
    <t>SCANER-VS-7-4096-B-F-AL</t>
  </si>
  <si>
    <t>SCANER-VS-7-8192-B-F-AL</t>
  </si>
  <si>
    <t>Средство  анализа защищенности «Сканер-ВС». НПЕШ.00606-01. Лицензия на 8192 IP адреса на 1 год  c OC CH ALSE (рег. № 231)</t>
  </si>
  <si>
    <t>SCANER-VS-7-UNL-B-F-AL</t>
  </si>
  <si>
    <t xml:space="preserve"> Средство  анализа защищенности «Сканер-ВС». НПЕШ.00606-01. Лицензия без ограничения IP адресов на 1 год  c OC CH ALSE (рег. № 231)</t>
  </si>
  <si>
    <t>Переход на новую версию ( с версии Сканер-ВС 5 )</t>
  </si>
  <si>
    <t>SCANER-VS-5/7-04-B-F-UPP</t>
  </si>
  <si>
    <t>Средство анализа защищенности «Сканер-ВС». НПЕШ.00606-01. Обновление до 7-й версии. Лицензия на 4 IP адреса (рег. № 231)</t>
  </si>
  <si>
    <r>
      <t xml:space="preserve">Переход на 7 версию "Сканер-ВС".
*переход возможен не ранее 3-х месяцев после приобретения версии Сканер-ВС 5.0. 
</t>
    </r>
    <r>
      <rPr>
        <b/>
        <sz val="9"/>
        <color theme="1"/>
        <rFont val="Microsoft Tai Le"/>
        <family val="2"/>
      </rPr>
      <t>Соответствует срокам действующей лицензии</t>
    </r>
  </si>
  <si>
    <t>SCANER-VS-5/7-08-B-F-UPP</t>
  </si>
  <si>
    <t>Средство  анализа защищенности «Сканер-ВС». НПЕШ.00606-01. Обновление до 7-й версии. Лицензия на 8 IP адресов (рег. № 231)</t>
  </si>
  <si>
    <t>SCANER-VS-5/7-16-B-F-UPP</t>
  </si>
  <si>
    <t>Средство  анализа защищенности «Сканер-ВС». НПЕШ.00606-01. Обновление до 7-й версии. Лицензия на 16 IP адресов  (рег. № 231)</t>
  </si>
  <si>
    <t>SCANER-VS-5/7-32-B-F-UPP</t>
  </si>
  <si>
    <t>Средство анализа защищенности «Сканер-ВС». НПЕШ.00606-01. Обновление до 7-й версии. Лицензия на 32 IP адреса (рег. № 231)</t>
  </si>
  <si>
    <t>SCANER-VS-5/7-64-B-F-UPP</t>
  </si>
  <si>
    <t>Средство  анализа защищенности «Сканер-ВС». НПЕШ.00606-01. Обновление до 7-й версии. Лицензия на 64 IP адреса (рег. № 231)</t>
  </si>
  <si>
    <t>SCANER-VS-5/7-128-B-F-UPP</t>
  </si>
  <si>
    <t>Средство  анализа защищенности «Сканер-ВС». НПЕШ.00606-01. Обновление до 7-й версии. Лицензия на 128 IP адресов (рег. № 231)</t>
  </si>
  <si>
    <t>SCANER-VS-5/7-256-B-F-UPP</t>
  </si>
  <si>
    <t>Средство  анализа защищенности «Сканер-ВС». НПЕШ.00606-01. Обновление до 7-й версии. Лицензия на 256 IP адресов (рег. № 231)</t>
  </si>
  <si>
    <t>SCANER-VS-5/7-512-B-F-UPP</t>
  </si>
  <si>
    <t>Средство  анализа защищенности «Сканер-ВС». НПЕШ.00606-01. Обновление до 7-й версии. Лицензия на 512 IP адресов (рег. № 231)</t>
  </si>
  <si>
    <t>SCANER-VS-5/7-1024-B-F-UPP</t>
  </si>
  <si>
    <t>Средство  анализа защищенности «Сканер-ВС». НПЕШ.00606-01. Обновление до 7-й версии. Лицензия на 1024 IP адреса (рег. № 231)</t>
  </si>
  <si>
    <t>SCANER-VS-5/7-UNL-B-F-UPP</t>
  </si>
  <si>
    <t xml:space="preserve"> Средство  анализа защищенности «Сканер-ВС». НПЕШ.00606-01. Обновление до 7-й версии. Лицензия без ограничения IP адресов 
(рег. № 231)</t>
  </si>
  <si>
    <t>Переход на новую версию ( с версии Сканер-ВС 6 )</t>
  </si>
  <si>
    <t>SCANER-VS-6/7-04-B-F-UPP</t>
  </si>
  <si>
    <r>
      <t xml:space="preserve">Переход на 7 версию "Сканер-ВС".
</t>
    </r>
    <r>
      <rPr>
        <b/>
        <sz val="9"/>
        <color theme="1"/>
        <rFont val="Microsoft Tai Le"/>
        <family val="2"/>
      </rPr>
      <t>Соответствует срокам действующей лицензии</t>
    </r>
  </si>
  <si>
    <t>SCANER-VS-6/7-08-B-F-UPP</t>
  </si>
  <si>
    <t>SCANER-VS-6/7-16-B-F-UPP</t>
  </si>
  <si>
    <t>SCANER-VS-6/7-32-B-F-UPP</t>
  </si>
  <si>
    <t>SCANER-VS-6/7-64-B-F-UPP</t>
  </si>
  <si>
    <t>SCANER-VS-6/7-128-B-F-UPP</t>
  </si>
  <si>
    <t>SCANER-VS-6/7-256-B-F-UPP</t>
  </si>
  <si>
    <t>SCANER-VS-6/7-512-B-F-UPP</t>
  </si>
  <si>
    <t>SCANER-VS-6/7-1024-B-F-UPP</t>
  </si>
  <si>
    <t>SCANER-VS-6/7-2048-B-F-UPP</t>
  </si>
  <si>
    <t>SCANER-VS-6/7-4096-B-F-UPP</t>
  </si>
  <si>
    <t>SCANER-VS-6/7-8192-B-F-UPP</t>
  </si>
  <si>
    <t>Средство  анализа защищенности «Сканер-ВС». НПЕШ.00606-01. Обновление до 7-й версии. Лицензия на 8192 IP адреса (рег. № 231)</t>
  </si>
  <si>
    <t>SCANER-VS-6/7-UNL-B-F-UPP</t>
  </si>
  <si>
    <t xml:space="preserve"> Средство  анализа защищенности «Сканер-ВС». НПЕШ.00606-01. Обновление до 7-й версии. Лицензия без ограничения IP адресов (рег. № 231)</t>
  </si>
  <si>
    <t>Дополнительные IP адреса (без НДС)</t>
  </si>
  <si>
    <t>SCANER-VS-7-50-ADD-B-F</t>
  </si>
  <si>
    <t>Средство  анализа защищенности «Сканер-ВС». Дополнительный IP к лицензии на 1 год (1-50)</t>
  </si>
  <si>
    <t xml:space="preserve">Дополнительный IP к лицензии  на 1 год </t>
  </si>
  <si>
    <t>SCANER-VS-7-100-ADD-B-F</t>
  </si>
  <si>
    <t>Средство  анализа защищенности «Сканер-ВС». Дополнительный IP к лицензии на 1 год (51-100)</t>
  </si>
  <si>
    <t>SCANER-VS-7-200-ADD-B-F</t>
  </si>
  <si>
    <t>Средство  анализа защищенности «Сканер-ВС». Дополнительный IP к лицензии на 1 год (101-200)</t>
  </si>
  <si>
    <t>SCANER-VS-7-500-ADD-B-F</t>
  </si>
  <si>
    <t>Средство  анализа защищенности «Сканер-ВС». Дополнительный IP к лицензии на 1 год (201-500)</t>
  </si>
  <si>
    <t>SCANER-VS-7-04-UP-B-F</t>
  </si>
  <si>
    <t>Средство анализа защищенности «Сканер-ВС». НПЕШ.00606-01. Продление лицензии на 4 IP адреса на 1 год (рег. № 231)</t>
  </si>
  <si>
    <t>Продление ранее приобретенной лицензии ПО «Сканер-ВС» на 1 год. 1 год обновления базы уязвимостей и технической поддержки. Сертификат ФСТЭК России по 4 уровню доверия. Продление возможно в течение 2х месяцев с даты окончания лицензии.</t>
  </si>
  <si>
    <t>SCANER-VS-7-08-UP-B-F</t>
  </si>
  <si>
    <t>SCANER-VS-7-16-UP-B-F</t>
  </si>
  <si>
    <t>Средство анализа защищенности «Сканер-ВС». НПЕШ.00606-01. Продление лицензии на 16 IP адресов на 1 год (рег. № 231)</t>
  </si>
  <si>
    <t>SCANER-VS-7-32-UP-B-F</t>
  </si>
  <si>
    <t>Средство анализа защищенности «Сканер-ВС». НПЕШ.00606-01. Продление лицензии на 32 IP адреса на 1 год (рег. № 231)</t>
  </si>
  <si>
    <t>SCANER-VS-7-64-UP-B-F</t>
  </si>
  <si>
    <t>Средство анализа защищенности «Сканер-ВС». НПЕШ.00606-01. Продление лицензии на 64 IP адреса на 1 год (рег. № 231)</t>
  </si>
  <si>
    <t>SCANER-VS-7-128-UP-B-F</t>
  </si>
  <si>
    <t>Средство анализа защищенности «Сканер-ВС». НПЕШ.00606-01. Продление лицензии на 128 IP адресов на 1 год (рег. № 231)</t>
  </si>
  <si>
    <t>SCANER-VS-7-256-UP-B-F</t>
  </si>
  <si>
    <t>Средство анализа защищенности «Сканер-ВС». НПЕШ.00606-01. Продление лицензии на 256 IP адресов на 1 год (рег. № 231)</t>
  </si>
  <si>
    <t>SCANER-VS-7-512-UP-B-F</t>
  </si>
  <si>
    <t>Средство анализа защищенности «Сканер-ВС». НПЕШ.00606-01. Продление лицензии на 512 IP адресов на 1 год (рег. № 231)</t>
  </si>
  <si>
    <t>SCANER-VS-7-1024-UP-B-F</t>
  </si>
  <si>
    <t>Средство анализа защищенности «Сканер-ВС». НПЕШ.00606-01. Продление лицензии на 1024 IP адреса на 1 год (рег. № 231)</t>
  </si>
  <si>
    <t>SCANER-VS-7-2048-UP-B-F</t>
  </si>
  <si>
    <t>SCANER-VS-7-4096-UP-B-F</t>
  </si>
  <si>
    <t>SCANER-VS-7-8192-UP-B-F</t>
  </si>
  <si>
    <t>Средство анализа защищенности «Сканер-ВС». НПЕШ.00606-01. Продление лицензии на 8192 IP адреса на 1 год (рег. № 231)</t>
  </si>
  <si>
    <t>SCANER-VS-7-UNL-UP-B-F</t>
  </si>
  <si>
    <t>Средство анализа защищенности «Сканер-ВС». НПЕШ.00606-01. Продление лицензии без ограничения IP адресов на 1 год (рег. № 231)</t>
  </si>
  <si>
    <t>Дополнительные IP адреса продление (без НДС)</t>
  </si>
  <si>
    <t>SCANER-VS-7-50-ADD-UP-B-F</t>
  </si>
  <si>
    <t>Средство  анализа защищенности «Сканер-ВС». Дополнительный IP к продлению лицензии на 1 год (1-50)</t>
  </si>
  <si>
    <t>Дополнительный IP к продлению ранее приобретенной лицензии на 1 год</t>
  </si>
  <si>
    <t>SCANER-VS-7-100-ADD-UP-B-F</t>
  </si>
  <si>
    <t>Средство  анализа защищенности «Сканер-ВС». Дополнительный IP к продлению лицензии на 1 год (51-100)</t>
  </si>
  <si>
    <t>SCANER-VS-7-200-ADD-UP-B-F</t>
  </si>
  <si>
    <t>Средство  анализа защищенности «Сканер-ВС». Дополнительный IP к продлению лицензии на 1 год (101-200)</t>
  </si>
  <si>
    <t>SCANER-VS-7-500-ADD-UP-B-F</t>
  </si>
  <si>
    <t>Средство  анализа защищенности «Сканер-ВС». Дополнительный IP к продлению лицензии на 1 год (201-500)</t>
  </si>
  <si>
    <t>МИГРАЦИЯ (переход с конкурирующих решений)*</t>
  </si>
  <si>
    <t>SCANER-VS-7-04-B-FX-4UD-B-F</t>
  </si>
  <si>
    <t>Средство анализа защищенности «Сканер-ВС». НПЕШ.00606-01. Лицензия на 4 IP адреса на 1 год при переходе с других средств тестирования (рег. № 231)</t>
  </si>
  <si>
    <t>Лицензия ПО «Сканер-ВС» на 1 год. 1 год обновления базы уязвимостей и технической поддержки при переходе с других средств тестирования. Сертификат ФСТЭК России по 4 уровню доверия.</t>
  </si>
  <si>
    <t>SCANER-VS-7-08-B-FX-4UD-B-F</t>
  </si>
  <si>
    <t>Средство анализа защищенности «Сканер-ВС». НПЕШ.00606-01. Лицензия на 8 IP адресов на 1 год при переходе с других средств тестирования (рег. № 231)</t>
  </si>
  <si>
    <t>SCANER-VS-7-16-B-FX-4UD-B-F</t>
  </si>
  <si>
    <t>Средство анализа защищенности «Сканер-ВС». НПЕШ.00606-01. Лицензия на 16 IP адресов на 1 год при переходе с других средств тестирования (рег. № 231)</t>
  </si>
  <si>
    <t>SCANER-VS-7-32-B-FX-4UD-B-F</t>
  </si>
  <si>
    <t>Средство анализа защищенности «Сканер-ВС». НПЕШ.00606-01. Лицензия на 32 IP адреса на 1 год при переходе с других средств тестирования (рег. № 231)</t>
  </si>
  <si>
    <t>SCANER-VS-7-64-B-FX-4UD-B-F</t>
  </si>
  <si>
    <t>Средство анализа защищенности «Сканер-ВС». НПЕШ.00606-01. Лицензия на 64 IP адреса на 1 год при переходе с других средств тестирования (рег. № 231)</t>
  </si>
  <si>
    <t>SCANER-VS-7-128-B-FX-4UD-B-F</t>
  </si>
  <si>
    <t>Средство анализа защищенности «Сканер-ВС». НПЕШ.00606-01. Лицензия на 128 IP адресов на 1 год при переходе с других средств тестирования (рег. № 231)</t>
  </si>
  <si>
    <t>SCANER-VS-7-256-B-FX-4UD-B-F</t>
  </si>
  <si>
    <t>Средство анализа защищенности «Сканер-ВС». НПЕШ.00606-01. Лицензия на 256 IP адресов на 1 год при переходе с других средств тестирования (рег. № 231)</t>
  </si>
  <si>
    <t>SCANER-VS-7-512-B-FX-4UD-B-F</t>
  </si>
  <si>
    <t>Средство анализа защищенности «Сканер-ВС». НПЕШ.00606-01. Лицензия на 512 IP адресов на 1 год при переходе с других средств тестирования (рег. № 231)</t>
  </si>
  <si>
    <t>SCANER-VS-7-1024-B-FX-4UD-B-F</t>
  </si>
  <si>
    <t>Средство анализа защищенности «Сканер-ВС». НПЕШ.00606-01. Лицензия на 1024 IP адреса на 1 год при переходе с других средств тестирования (рег. № 231)</t>
  </si>
  <si>
    <t>SCANER-VS-7-2048-B-FX-4UD-B-F</t>
  </si>
  <si>
    <t>SCANER-VS-7-4096-B-FX-4UD-B-F</t>
  </si>
  <si>
    <t>SCANER-VS-7-8192-B-FX-4UD-B-F</t>
  </si>
  <si>
    <t>SCANER-VS-7-UNL-B-FX-4UD-B-F</t>
  </si>
  <si>
    <r>
      <rPr>
        <b/>
        <sz val="16"/>
        <color theme="1"/>
        <rFont val="Microsoft Tai Le"/>
        <family val="2"/>
      </rPr>
      <t>Примечание</t>
    </r>
    <r>
      <rPr>
        <sz val="16"/>
        <color theme="1"/>
        <rFont val="Microsoft Tai Le"/>
        <family val="2"/>
      </rPr>
      <t xml:space="preserve"> </t>
    </r>
  </si>
  <si>
    <t>Комплект поставки Сканер-ВС 7:</t>
  </si>
  <si>
    <t>1. Лицензия на бумажном носителе
2. Сертификат ТП на бумажном носителе
3. Упаковка
4. Носитель c дистрибутивом и документацией (4+ DVD, 256+ - USB Flash)
5. Формуляр
6. Копия сертификата соответствия
7. Ведомость эксплуатационных документов</t>
  </si>
  <si>
    <t>Комплект поставки Сканер-ВС 7 
LiveUSB:</t>
  </si>
  <si>
    <t>1. Лицензия на бумажном носителе
2. Сертификат ТП на бумажном носителе
3. Упаковка 
4. Носитель c дистрибутивом и документацией (USB Flash)
5. Формуляр
6. Копия сертификата соответствия
7. Ведомость эксплуатационных документов 
8. Формуляр Astra</t>
  </si>
  <si>
    <t>Обновление на новые версии</t>
  </si>
  <si>
    <t xml:space="preserve">При "обновлении" все продукты будут получать новый серийный номер, в целях соблюдения требований Приказа ФСТЭК России от 03.04.2018 N 55 (п.п. 63,67,68) </t>
  </si>
  <si>
    <t>Онлайн документация</t>
  </si>
  <si>
    <t>https://docs.etecs.ru/scanner/</t>
  </si>
  <si>
    <t>Astra Linux 22 300,00</t>
  </si>
  <si>
    <t>Astra версии 1.8 (уровень защищенности Воронеж).</t>
  </si>
  <si>
    <t>Флеш носитель от 6 000,00</t>
  </si>
  <si>
    <t xml:space="preserve">Электронная поставка - Средство анализа защищенности «Сканер-ВС» 7 BASE. Сертификат ФСТЭК </t>
  </si>
  <si>
    <t>SCANER-VS-7-01-B-F-EL</t>
  </si>
  <si>
    <r>
      <t>Лицензия ПО «Сканер-ВС» на 1 год. 1 год обновления базы уязвимостей и технической поддержки.</t>
    </r>
    <r>
      <rPr>
        <sz val="9"/>
        <rFont val="Microsoft Tai Le"/>
        <family val="2"/>
      </rPr>
      <t xml:space="preserve"> </t>
    </r>
    <r>
      <rPr>
        <b/>
        <sz val="9"/>
        <rFont val="Microsoft Tai Le"/>
        <family val="2"/>
      </rPr>
      <t>Без возможности продления.</t>
    </r>
    <r>
      <rPr>
        <sz val="9"/>
        <color theme="1"/>
        <rFont val="Microsoft Tai Le"/>
        <family val="2"/>
      </rPr>
      <t xml:space="preserve">
Сертификат ФСТЭК России по 4 уровню доверия.
</t>
    </r>
    <r>
      <rPr>
        <b/>
        <sz val="9"/>
        <color theme="1"/>
        <rFont val="Microsoft Tai Le"/>
        <family val="2"/>
      </rPr>
      <t>Электронная поставка.</t>
    </r>
  </si>
  <si>
    <t>SCANER-VS-7-04-B-F-EL</t>
  </si>
  <si>
    <r>
      <t xml:space="preserve">Лицензия ПО «Сканер-ВС» на 1 год. 1 год обновления базы уязвимостей и технической поддержки.
Сертификат ФСТЭК России по 4 уровню доверия.
</t>
    </r>
    <r>
      <rPr>
        <b/>
        <sz val="9"/>
        <color theme="1"/>
        <rFont val="Microsoft Tai Le"/>
        <family val="2"/>
      </rPr>
      <t>Электронная поставка.</t>
    </r>
  </si>
  <si>
    <t>SCANER-VS-7-08-B-F-EL</t>
  </si>
  <si>
    <r>
      <t>Лицензия ПО «Сканер-ВС» на 1 год. 1 год обновления базы уязвимостей и технической поддержки.
Сертификат ФСТЭК России</t>
    </r>
    <r>
      <rPr>
        <sz val="7"/>
        <color theme="1"/>
        <rFont val="Microsoft Tai Le"/>
        <family val="2"/>
      </rPr>
      <t xml:space="preserve"> по 4 уровню доверия.
</t>
    </r>
    <r>
      <rPr>
        <b/>
        <sz val="7"/>
        <color theme="1"/>
        <rFont val="Microsoft Tai Le"/>
        <family val="2"/>
      </rPr>
      <t>Электронная поставка.</t>
    </r>
  </si>
  <si>
    <t>SCANER-VS-7-16-B-F-EL</t>
  </si>
  <si>
    <t>SCANER-VS-7-32-B-F-EL</t>
  </si>
  <si>
    <t>SCANER-VS-7-64-B-F-EL</t>
  </si>
  <si>
    <t>SCANER-VS-7-128-B-F-EL</t>
  </si>
  <si>
    <t>SCANER-VS-7-256-B-F-EL</t>
  </si>
  <si>
    <t>SCANER-VS-7-512-B-F-EL</t>
  </si>
  <si>
    <t>SCANER-VS-7-1024-B-F-EL</t>
  </si>
  <si>
    <t>SCANER-VS-7-2048-B-F-EL</t>
  </si>
  <si>
    <t>SCANER-VS-7-4096-B-F-EL</t>
  </si>
  <si>
    <t>SCANER-VS-7-8192-B-F-EL</t>
  </si>
  <si>
    <t>SCANER-VS-7-UNL-B-F-EL</t>
  </si>
  <si>
    <t>SCANER-VS-5/7-04-B-F-UPP-EL</t>
  </si>
  <si>
    <r>
      <t xml:space="preserve">Переход на 7 версию "Сканер-ВС".
*переход возможен не ранее 3-х месяцев после приобретения версии Сканер-ВС 5.0. 
</t>
    </r>
    <r>
      <rPr>
        <b/>
        <sz val="9"/>
        <color theme="1"/>
        <rFont val="Microsoft Tai Le"/>
        <family val="2"/>
      </rPr>
      <t>Соответствует срокам действующей лицензии</t>
    </r>
    <r>
      <rPr>
        <sz val="9"/>
        <color theme="1"/>
        <rFont val="Microsoft Tai Le"/>
        <family val="2"/>
      </rPr>
      <t xml:space="preserve">
</t>
    </r>
    <r>
      <rPr>
        <b/>
        <sz val="9"/>
        <color theme="1"/>
        <rFont val="Microsoft Tai Le"/>
        <family val="2"/>
      </rPr>
      <t>Электронная поставка.</t>
    </r>
  </si>
  <si>
    <t>SCANER-VS-5/7-08-B-F-UPP-EL</t>
  </si>
  <si>
    <t>SCANER-VS-5/7-16-B-F-UPP-EL</t>
  </si>
  <si>
    <t>SCANER-VS-5/7-32-B-F-UPP-EL</t>
  </si>
  <si>
    <t>SCANER-VS-5/7-64-B-F-UPP-EL</t>
  </si>
  <si>
    <t>SCANER-VS-5/7-128-B-F-UPP-EL</t>
  </si>
  <si>
    <t>SCANER-VS-5/7-256-B-F-UPP-EL</t>
  </si>
  <si>
    <t>SCANER-VS-5/7-512-B-F-UPP-EL</t>
  </si>
  <si>
    <t>SCANER-VS-5/7-1024-B-F-UPP-EL</t>
  </si>
  <si>
    <t>SCANER-VS-5/7-UNL-B-F-UPP-EL</t>
  </si>
  <si>
    <t>SCANER-VS-6/7-04-B-F-UPP-EL</t>
  </si>
  <si>
    <r>
      <t xml:space="preserve">Переход на 7 версию "Сканер-ВС".
</t>
    </r>
    <r>
      <rPr>
        <b/>
        <sz val="9"/>
        <color theme="1"/>
        <rFont val="Microsoft Tai Le"/>
        <family val="2"/>
      </rPr>
      <t>Соответствует срокам действующей лицензии
Электронная поставка.</t>
    </r>
  </si>
  <si>
    <t>SCANER-VS-6/7-08-B-F-UPP-EL</t>
  </si>
  <si>
    <t>SCANER-VS-6/7-16-B-F-UPP-EL</t>
  </si>
  <si>
    <t>SCANER-VS-6/7-32-B-F-UPP-EL</t>
  </si>
  <si>
    <t>SCANER-VS-6/7-64-B-F-UPP-EL</t>
  </si>
  <si>
    <t>SCANER-VS-6/7-128-B-F-UPP-EL</t>
  </si>
  <si>
    <t>SCANER-VS-6/7-256-B-F-UPP-EL</t>
  </si>
  <si>
    <t>SCANER-VS-6/7-512-B-F-UPP-EL</t>
  </si>
  <si>
    <t>SCANER-VS-6/7-1024-B-F-UPP-EL</t>
  </si>
  <si>
    <t>SCANER-VS-6/7-2048-B-F-UPP-EL</t>
  </si>
  <si>
    <t>SCANER-VS-6/7-4096-B-F-UPP-EL</t>
  </si>
  <si>
    <t>SCANER-VS-6/7-8192-B-F-UPP-EL</t>
  </si>
  <si>
    <t>SCANER-VS-6/7-UNL-B-F-UPP-EL</t>
  </si>
  <si>
    <t>SCANER-VS-7-50-ADD-B-F-EL</t>
  </si>
  <si>
    <r>
      <t xml:space="preserve">Дополнительный IP к лицензии  на 1 год 
</t>
    </r>
    <r>
      <rPr>
        <b/>
        <sz val="9"/>
        <color theme="1"/>
        <rFont val="Microsoft Tai Le"/>
        <family val="2"/>
      </rPr>
      <t>Электронная поставка.</t>
    </r>
  </si>
  <si>
    <t>SCANER-VS-7-100-ADD-B-F-EL</t>
  </si>
  <si>
    <t>SCANER-VS-7-200-ADD-B-F-EL</t>
  </si>
  <si>
    <t>SCANER-VS-7-500-ADD-B-F-EL</t>
  </si>
  <si>
    <t>SCANER-VS-7-04-UP-B-F-EL</t>
  </si>
  <si>
    <r>
      <t xml:space="preserve">Продление ранее приобретенной лицензии ПО «Сканер-ВС» на 1 год. 1 год обновления базы уязвимостей и технической поддержки. Сертификат ФСТЭК России по 4 уровню доверия. Продление возможно в течение 2х месяцев с даты окончания лицензии.
</t>
    </r>
    <r>
      <rPr>
        <b/>
        <sz val="9"/>
        <color theme="1"/>
        <rFont val="Microsoft Tai Le"/>
        <family val="2"/>
      </rPr>
      <t>Электронная поставка.</t>
    </r>
  </si>
  <si>
    <t>SCANER-VS-7-08-UP-B-F-EL</t>
  </si>
  <si>
    <t>SCANER-VS-7-16-UP-B-F-EL</t>
  </si>
  <si>
    <t>SCANER-VS-7-32-UP-B-F-EL</t>
  </si>
  <si>
    <t>SCANER-VS-7-64-UP-B-F-EL</t>
  </si>
  <si>
    <t>SCANER-VS-7-128-UP-B-F-EL</t>
  </si>
  <si>
    <t>SCANER-VS-7-256-UP-B-F-EL</t>
  </si>
  <si>
    <t>SCANER-VS-7-512-UP-B-F-EL</t>
  </si>
  <si>
    <t>SCANER-VS-7-1024-UP-B-F-EL</t>
  </si>
  <si>
    <t>SCANER-VS-7-2048-UP-B-F-EL</t>
  </si>
  <si>
    <t>SCANER-VS-7-4096-UP-B-F-EL</t>
  </si>
  <si>
    <t>SCANER-VS-7-8192-UP-B-F-EL</t>
  </si>
  <si>
    <t>SCANER-VS-7-UNL-UP-B-F-EL</t>
  </si>
  <si>
    <t>SCANER-VS-7-50-ADD-UP-B-F-EL</t>
  </si>
  <si>
    <r>
      <t xml:space="preserve">Дополнительный IP к продлению ранее приобретенной лицензии на 1 год.
</t>
    </r>
    <r>
      <rPr>
        <b/>
        <sz val="9"/>
        <color theme="1"/>
        <rFont val="Microsoft Tai Le"/>
        <family val="2"/>
      </rPr>
      <t>Электронная поставка.</t>
    </r>
  </si>
  <si>
    <t>SCANER-VS-7-100-ADD-UP-B-F-EL</t>
  </si>
  <si>
    <t>SCANER-VS-7-200-ADD-UP-B-F-EL</t>
  </si>
  <si>
    <t>SCANER-VS-7-500-ADD-UP-B-F-EL</t>
  </si>
  <si>
    <t>SCANER-VS-7-04-B-F-ELX-4UD-B-F-EL</t>
  </si>
  <si>
    <r>
      <t xml:space="preserve">Лицензия ПО «Сканер-ВС» на 1 год. 1 год обновления базы уязвимостей и технической поддержки при переходе с других средств тестирования. Сертификат ФСТЭК России по 4 уровню доверия.
</t>
    </r>
    <r>
      <rPr>
        <b/>
        <sz val="9"/>
        <color theme="1"/>
        <rFont val="Microsoft Tai Le"/>
        <family val="2"/>
      </rPr>
      <t>Электронная поставка.</t>
    </r>
  </si>
  <si>
    <t>SCANER-VS-7-08-B-F-ELX-4UD-B-F-EL</t>
  </si>
  <si>
    <t>SCANER-VS-7-16-B-F-ELX-4UD-B-F-EL</t>
  </si>
  <si>
    <t>SCANER-VS-7-32-B-F-ELX-4UD-B-F-EL</t>
  </si>
  <si>
    <t>SCANER-VS-7-64-B-F-ELX-4UD-B-F-EL</t>
  </si>
  <si>
    <t>SCANER-VS-7-128-B-F-ELX-4UD-B-F-EL</t>
  </si>
  <si>
    <t>SCANER-VS-7-256-B-F-ELX-4UD-B-F-EL</t>
  </si>
  <si>
    <t>SCANER-VS-7-512-B-F-ELX-4UD-B-F-EL</t>
  </si>
  <si>
    <t>SCANER-VS-7-1024-B-F-ELX-4UD-B-F-EL</t>
  </si>
  <si>
    <t>SCANER-VS-7-2048-B-F-ELX-4UD-B-F-EL</t>
  </si>
  <si>
    <t>SCANER-VS-7-4096-B-F-ELX-4UD-B-F-EL</t>
  </si>
  <si>
    <t>SCANER-VS-7-8192-B-F-ELX-4UD-B-F-EL</t>
  </si>
  <si>
    <t>SCANER-VS-7-UNL-B-F-ELX-4UD-B-F-EL</t>
  </si>
  <si>
    <t>Количество</t>
  </si>
  <si>
    <t>SCANER-VS-7-256-E-F</t>
  </si>
  <si>
    <t>Программное обеспечение "Сканер-ВС". Лицензия Enterprise на 256 активов на 1 год (рег. № 231)</t>
  </si>
  <si>
    <t>SCANER-VS-7-512-E-F</t>
  </si>
  <si>
    <t>Программное обеспечение "Сканер-ВС". Лицензия Enterprise на 512 активов на 1 год (рег. № 231)</t>
  </si>
  <si>
    <t>Лицензия на программное обеспечение "Сканер-ВС". Лицензия Enterprise на 1 год. 
Обновления базы уязвимостей, технической поддержки и аудита конфигурации ОС в течение 1 года.
Сертификат ФСТЭК России по 4 уровню доверия.</t>
  </si>
  <si>
    <t>SCANER-VS-7-1024-E-F</t>
  </si>
  <si>
    <t>Программное обеспечение "Сканер-ВС". Лицензия Enterprise на 1024 активов на 1 год (рег. № 231)</t>
  </si>
  <si>
    <t>SCANER-VS-7-2048-E-F</t>
  </si>
  <si>
    <t>Программное обеспечение "Сканер-ВС". Лицензия Enterprise на 2048 активов на 1 год (рег. № 231)</t>
  </si>
  <si>
    <t>SCANER-VS-7-4096-E-F</t>
  </si>
  <si>
    <t>Программное обеспечение "Сканер-ВС". Лицензия Enterprise на 4096 активов на 1 год (рег. № 231)</t>
  </si>
  <si>
    <t>SCANER-VS-7-8192-E-F</t>
  </si>
  <si>
    <t>Программное обеспечение "Сканер-ВС". Лицензия Enterprise на 8192 активов на 1 год (рег. № 231)</t>
  </si>
  <si>
    <t>SCANER-VS-7-UNL-E-F</t>
  </si>
  <si>
    <t>Программное обеспечение "Сканер-ВС". Лицензия Enterprise без ограничений активов на 1 год (рег. № 231)</t>
  </si>
  <si>
    <t>Переход на Сканер-ВС 7 Enterprise ( с версии Сканер-ВС 7 Base )</t>
  </si>
  <si>
    <t>SCANER-VS-7-B/7-E-256-F-UPP</t>
  </si>
  <si>
    <t>Средство анализа защищенности «Сканер-ВС». НПЕШ.00606-01. Переход с 7-й версии Base на Enterprise. Лицензия на 256 активов (рег. № 231)</t>
  </si>
  <si>
    <r>
      <t xml:space="preserve">Переход на 7 версию "Сканер-ВС Enterprise".
</t>
    </r>
    <r>
      <rPr>
        <b/>
        <sz val="9"/>
        <color theme="1"/>
        <rFont val="Microsoft Tai Le"/>
        <family val="2"/>
      </rPr>
      <t>Соответствует срокам действующей лицензии</t>
    </r>
  </si>
  <si>
    <t>SCANER-VS-7-B/7-E-512-F-UPP</t>
  </si>
  <si>
    <t>Средство анализа защищенности «Сканер-ВС». НПЕШ.00606-01. Переход с 7-й версии Base на Enterprise. Лицензия на 512 активов (рег. № 231)</t>
  </si>
  <si>
    <t>SCANER-VS-7-B/7-E-1024-F-UPP</t>
  </si>
  <si>
    <t>Средство анализа защищенности «Сканер-ВС». НПЕШ.00606-01. Переход с 7-й версии Base на Enterprise. Лицензия на 1024 активов (рег. № 231)</t>
  </si>
  <si>
    <t>SCANER-VS-7-B/7-E-2048-F-UPP</t>
  </si>
  <si>
    <t>Средство анализа защищенности «Сканер-ВС». НПЕШ.00606-01. Переход с 7-й версии Base на Enterprise. Лицензия на 2048 активов (рег. № 231)</t>
  </si>
  <si>
    <t>SCANER-VS-7-B/7-E-4096-F-UPP</t>
  </si>
  <si>
    <t>Средство анализа защищенности «Сканер-ВС». НПЕШ.00606-01. Переход с 7-й версии Base на Enterprise. Лицензия на 4096 активов (рег. № 231)</t>
  </si>
  <si>
    <t>SCANER-VS-7-B/7-E-8192-F-UPP</t>
  </si>
  <si>
    <t>Средство анализа защищенности «Сканер-ВС». НПЕШ.00606-01. Переход с 7-й версии Base на Enterprise. Лицензия на 8192 активов (рег. № 231)</t>
  </si>
  <si>
    <t>SCANER-VS-7-B/7-E-UNL-F-UPP</t>
  </si>
  <si>
    <t>Средство анализа защищенности «Сканер-ВС». НПЕШ.00606-01. Переход с 7-й версии Base на Enterprise. Лицензия без ограничения по количеству активов  (рег. № 231)</t>
  </si>
  <si>
    <t>SCANER-VS-7-50-ADD-E-F</t>
  </si>
  <si>
    <t>Программное обеспечение 
"Сканер-ВС Enterprise". Дополнительные активы к лицензии на 1 год (1-50)</t>
  </si>
  <si>
    <t xml:space="preserve">Дополнительные активы к лицензии  на 1 год </t>
  </si>
  <si>
    <t>SCANER-VS-7-100-ADD-E-F</t>
  </si>
  <si>
    <t>Программное обеспечение 
"Сканер-ВС Enterprise". Дополнительные активы к лицензии на 1 год (51-100)</t>
  </si>
  <si>
    <t>SCANER-VS-7-200-ADD-E-F</t>
  </si>
  <si>
    <t>Программное обеспечение 
"Сканер-ВС Enterprise". Дополнительные активы к лицензии на 1 год (101-200)</t>
  </si>
  <si>
    <t>SCANER-VS-7-500-ADD-E-F</t>
  </si>
  <si>
    <t>Программное обеспечение 
"Сканер-ВС Enterprise". Дополнительные активы к лицензии на 1 год (201-500)</t>
  </si>
  <si>
    <t>SCANER-VS-7-256-UP-E-F</t>
  </si>
  <si>
    <t>Программное средство "Сканер-ВС". Продление лицензии Enterprise на 256 активов на 1 год (рег. № 231)</t>
  </si>
  <si>
    <t xml:space="preserve">Продление ранее приобретенной лицензии программного обеспечения "Сканер-ВС". Лицензия Enterprise на 1 год. 
Обновление базы уязвимостей, технической поддержки и аудита конфигурации ОС. 
Сертификат ФСТЭК России по 4 уровню доверия. </t>
  </si>
  <si>
    <t>SCANER-VS-7-512-UP-E-F</t>
  </si>
  <si>
    <t>Программное средство "Сканер-ВС". Продление лицензии Enterprise на 512 активов на 1 год (рег. № 231)</t>
  </si>
  <si>
    <t>SCANER-VS-7-1024-UP-E-F</t>
  </si>
  <si>
    <t>Программное средство "Сканер-ВС". Продление лицензии Enterprise на 1024 активов на 1 год (рег. № 231)</t>
  </si>
  <si>
    <t>SCANER-VS-7-2048-UP-E-F</t>
  </si>
  <si>
    <t>Программное средство "Сканер-ВС". Продление лицензии Enterprise на 2048 активов на 1 год (рег. № 231)</t>
  </si>
  <si>
    <t>SCANER-VS-7-4096-UP-E-F</t>
  </si>
  <si>
    <t>Программное средство "Сканер-ВС". Продление лицензии Enterprise на 4096 активов на 1 год (рег. № 231)</t>
  </si>
  <si>
    <t>SCANER-VS-7-8192-UP-E-F</t>
  </si>
  <si>
    <t>Программное средство "Сканер-ВС". Продление лицензии Enterprise на 8192 активов на 1 год (рег. № 231)</t>
  </si>
  <si>
    <t xml:space="preserve">Продление ранее приобретенной лицензии программного обеспечения "Сканер-ВС". Лицензия Enterprise на 1 год.  
Обновление базы уязвимостей, технической поддержки и аудита конфигурации ОС. 
Сертификат ФСТЭК России по 4 уровню доверия. </t>
  </si>
  <si>
    <t>SCANER-VS-7-UNL-UP-E-F</t>
  </si>
  <si>
    <t>Программное средство "Сканер-ВС". Продление лицензии Enterprise без ограничения по количеству активов на 1 год (рег. № 231)</t>
  </si>
  <si>
    <t>Дополнительные IP адреса к продлению (без НДС)</t>
  </si>
  <si>
    <t>SCANER-VS-7-50-ADD-UP-E-F</t>
  </si>
  <si>
    <t>Программное обеспечение "Сканер-ВС Enterprise". Дополнительные активы к продлению лицензии на 1 год (1-50)</t>
  </si>
  <si>
    <t>SCANER-VS-7-100-ADD-UP-E-F</t>
  </si>
  <si>
    <t>Программное обеспечение "Сканер-ВС Enterprise". Дополнительные активы к продлению лицензии на 1 год (51-100)</t>
  </si>
  <si>
    <t>SCANER-VS-7-200-ADD-UP-E-F</t>
  </si>
  <si>
    <t>Программное обеспечение "Сканер-ВС Enterprise". Дополнительные активы к продлению лицензии на 1 год (101-200)</t>
  </si>
  <si>
    <t>SCANER-VS-7-500-ADD-UP-E-F</t>
  </si>
  <si>
    <t>Программное обеспечение "Сканер-ВС Enterprise". Дополнительные активы к продлению лицензии на 1 год (201-500)</t>
  </si>
  <si>
    <t>Комплект поставки 
Сканер-ВС 7 Enterprise:</t>
  </si>
  <si>
    <t xml:space="preserve">Электронная поставка - Средство анализа защищенности «Сканер-ВС» 7 Enterprise. Сертификат ФСТЭК </t>
  </si>
  <si>
    <t>SCANER-VS-7-8-E-F-EL</t>
  </si>
  <si>
    <r>
      <t xml:space="preserve">Лицензия на программное обеспечение "Сканер-ВС". Лицензия Enterprise на 1 год. 
Обновления базы уязвимостей, технической поддержки и аудита конфигурации ОС в течение 1 года.
Сертификат ФСТЭК России по 4 уровню доверия.
</t>
    </r>
    <r>
      <rPr>
        <b/>
        <sz val="9"/>
        <color theme="1"/>
        <rFont val="Microsoft Tai Le"/>
        <family val="2"/>
      </rPr>
      <t>Электронная поставка.</t>
    </r>
  </si>
  <si>
    <t>SCANER-VS-7-16-E-F-EL</t>
  </si>
  <si>
    <t>SCANER-VS-7-32-E-F-EL</t>
  </si>
  <si>
    <t>SCANER-VS-7-64-E-F-EL</t>
  </si>
  <si>
    <t>SCANER-VS-7-128-E-F-EL</t>
  </si>
  <si>
    <t>SCANER-VS-7-256-E-F-EL</t>
  </si>
  <si>
    <t>SCANER-VS-7-512-E-F-EL</t>
  </si>
  <si>
    <t>SCANER-VS-7-1024-E-F-EL</t>
  </si>
  <si>
    <t>SCANER-VS-7-2048-E-F-EL</t>
  </si>
  <si>
    <t>SCANER-VS-7-4096-E-F-EL</t>
  </si>
  <si>
    <t>SCANER-VS-7-8192-E-F-EL</t>
  </si>
  <si>
    <t>SCANER-VS-7-UNL-E-F-EL</t>
  </si>
  <si>
    <t>SCANER-VS-7-B/7-E-08-F-UPP-EL</t>
  </si>
  <si>
    <r>
      <t xml:space="preserve">Переход на 7 версию "Сканер-ВС Enterprise".
</t>
    </r>
    <r>
      <rPr>
        <b/>
        <sz val="9"/>
        <color theme="1"/>
        <rFont val="Microsoft Tai Le"/>
        <family val="2"/>
      </rPr>
      <t>Соответствует срокам действующей лицензии.
Электронная поставка.</t>
    </r>
  </si>
  <si>
    <t>SCANER-VS-7-B/7-E-16-F-UPP-EL</t>
  </si>
  <si>
    <t>SCANER-VS-7-B/7-E-32-F-UPP-EL</t>
  </si>
  <si>
    <t>SCANER-VS-7-B/7-E-64-F-UPP-EL</t>
  </si>
  <si>
    <t>SCANER-VS-7-B/7-E-128-F-UPP-EL</t>
  </si>
  <si>
    <t>SCANER-VS-7-B/7-E-256-F-UPP-EL</t>
  </si>
  <si>
    <t>SCANER-VS-7-B/7-E-512-F-UPP-EL</t>
  </si>
  <si>
    <t>SCANER-VS-7-B/7-E-1024-F-UPP-EL</t>
  </si>
  <si>
    <t>SCANER-VS-7-B/7-E-2048-F-UPP-EL</t>
  </si>
  <si>
    <t>SCANER-VS-7-B/7-E-4096-F-UPP-EL</t>
  </si>
  <si>
    <t>SCANER-VS-7-B/7-E-8192-F-UPP-EL</t>
  </si>
  <si>
    <t>SCANER-VS-7-B/7-E-UNL-F-UPP-EL</t>
  </si>
  <si>
    <t>SCANER-VS-7-50-ADD-E-F-EL</t>
  </si>
  <si>
    <r>
      <t xml:space="preserve">Дополнительные активы к лицензии  на 1 год. 
</t>
    </r>
    <r>
      <rPr>
        <b/>
        <sz val="9"/>
        <color theme="1"/>
        <rFont val="Microsoft Tai Le"/>
        <family val="2"/>
      </rPr>
      <t>Электронная поставка.</t>
    </r>
  </si>
  <si>
    <t>SCANER-VS-7-100-ADD-E-F-EL</t>
  </si>
  <si>
    <t>SCANER-VS-7-200-ADD-E-F-EL</t>
  </si>
  <si>
    <t>SCANER-VS-7-500-ADD-E-F-EL</t>
  </si>
  <si>
    <t>SCANER-VS-7-8-UP-E-F-EL</t>
  </si>
  <si>
    <r>
      <t xml:space="preserve">Продление ранее приобретенной лицензии программного обеспечения "Сканер-ВС". Лицензия Enterprise на 1 год. 
Обновление базы уязвимостей, технической поддержки и аудита конфигурации ОС. 
Сертификат ФСТЭК России по 4 уровню доверия. 
</t>
    </r>
    <r>
      <rPr>
        <b/>
        <sz val="9"/>
        <color theme="1"/>
        <rFont val="Microsoft Tai Le"/>
        <family val="2"/>
      </rPr>
      <t>Электронная поставка.</t>
    </r>
  </si>
  <si>
    <t>SCANER-VS-7-16-UP-E-F-EL</t>
  </si>
  <si>
    <t>SCANER-VS-7-32-UP-E-F-EL</t>
  </si>
  <si>
    <t>SCANER-VS-7-64-UP-E-F-EL</t>
  </si>
  <si>
    <t>SCANER-VS-7-128-UP-E-F-EL</t>
  </si>
  <si>
    <t>SCANER-VS-7-256-UP-E-F-EL</t>
  </si>
  <si>
    <t>SCANER-VS-7-512-UP-E-F-EL</t>
  </si>
  <si>
    <t>SCANER-VS-7-1024-UP-E-F-EL</t>
  </si>
  <si>
    <t>SCANER-VS-7-2048-UP-E-F-EL</t>
  </si>
  <si>
    <t>SCANER-VS-7-4096-UP-E-F-EL</t>
  </si>
  <si>
    <t>SCANER-VS-7-8192-UP-E-F-EL</t>
  </si>
  <si>
    <t>SCANER-VS-7-UNL-UP-E-F-EL</t>
  </si>
  <si>
    <t>SCANER-VS-7-50-ADD-UP-E-F-EL</t>
  </si>
  <si>
    <t>SCANER-VS-7-100-ADD-UP-E-F-EL</t>
  </si>
  <si>
    <t>SCANER-VS-7-200-ADD-UP-E-F-EL</t>
  </si>
  <si>
    <t>SCANER-VS-7-500-ADD-UP-E-F-EL</t>
  </si>
  <si>
    <t>INSPECTOR-7-LIC-08-F</t>
  </si>
  <si>
    <t>Средство анализа защищенности «Сканер-ВС». Лицензия включает компонент «Инспектор», на 8 IP адресов на 1 год (рег. № 231)</t>
  </si>
  <si>
    <t>Лицензия ПО «Сканер-ВС Инспектор» на 1 год. 1 год обновления базы уязвимостей и технической поддержки.
Сертификат ФСТЭК России по 4 уровню доверия.</t>
  </si>
  <si>
    <t>INSPECTOR-7-LIC-16-F</t>
  </si>
  <si>
    <t>Средство анализа защищенности «Сканер-ВС». Лицензия включает компонент «Инспектор»,  на 16 IP адресов на 1 год (рег. № 231)</t>
  </si>
  <si>
    <t>INSPECTOR-7-LIC-32-F</t>
  </si>
  <si>
    <t>Средство анализа защищенности «Сканер-ВС». Лицензия включает компонент «Инспектор», на 32 IP адреса на 1 год (рег. № 231)</t>
  </si>
  <si>
    <t>INSPECTOR-7-LIC-64-F</t>
  </si>
  <si>
    <t>Средство анализа защищенности «Сканер-ВС». Лицензия включает компонент «Инспектор»,  на 64 IP адреса на 1 год (рег. № 231)</t>
  </si>
  <si>
    <t>INSPECTOR-7-LIC-128-F</t>
  </si>
  <si>
    <t>Средство анализа защищенности «Сканер-ВС». Лицензия включает компонент «Инспектор»,  на 128 IP адресов на 1 год (рег. № 231)</t>
  </si>
  <si>
    <t>INSPECTOR-7-LIC-256-F</t>
  </si>
  <si>
    <t>Средство анализа защищенности «Сканер-ВС». Лицензия включает компонент «Инспектор»,  на 256 IP адресов на 1 год (рег. № 231)</t>
  </si>
  <si>
    <t>INSPECTOR-7-LIC-512-F</t>
  </si>
  <si>
    <t>Средство анализа защищенности «Сканер-ВС». Лицензия включает компонент «Инспектор»,  на 512 IP адресов на 1 год (рег. № 231)</t>
  </si>
  <si>
    <t>INSPECTOR-7-LIC-1024-F</t>
  </si>
  <si>
    <t>Средство анализа защищенности «Сканер-ВС». Лицензия включает компонент «Инспектор»,  на 1024 IP адреса на 1 год (рег. № 231)</t>
  </si>
  <si>
    <t>INSPECTOR-7-LIC-2048-F</t>
  </si>
  <si>
    <t>INSPECTOR-7-LIC-4096-F</t>
  </si>
  <si>
    <t>INSPECTOR-7-LIC-8192-F</t>
  </si>
  <si>
    <t>Средство анализа защищенности «Сканер-ВС». Лицензия включает компонент «Инспектор». НПЕШ.00606-01. Лицензия на 8192 IP адреса на 1 год (рег. № 231)</t>
  </si>
  <si>
    <t>INSPECTOR-7-LIC-UNL-F</t>
  </si>
  <si>
    <t xml:space="preserve"> Средство анализа защищенности «Сканер-ВС». Лицензия включает компонент «Инспектор». НПЕШ.00606-01. Лицензия без ограничения IP адресов на 1 год (рег. № 231)</t>
  </si>
  <si>
    <t>Партнерская скидка распространяется на Средство анализа защищенности «Сканер-ВС» лицензия включает компонент «Инспектор»</t>
  </si>
  <si>
    <t>INSPECTOR-7-LIC-08-F-AL</t>
  </si>
  <si>
    <t>Средство анализа защищенности «Сканер-ВС». Лицензия включает компонент «Инспектор». НПЕШ.00606-01. Лицензия на 8 IP адресов на 1 год c OC CH ALSE (рег. № 231)</t>
  </si>
  <si>
    <t>Лицензия ПО «Сканер-ВС Инспектор» на 1 год. 1 год обновления базы уязвимостей и технической поддержки.
Сертификат ФСТЭК России по 4 уровню доверия. Лицензия OC CH ALSE, USB-накопитель 256/512 GB.</t>
  </si>
  <si>
    <t>INSPECTOR-7-LIC-16-F-AL</t>
  </si>
  <si>
    <t>Средство анализа защищенности «Сканер-ВС». Лицензия включает компонент «Инспектор». НПЕШ.00606-01. Лицензия на 16 IP адресов на 1 год  c OC CH ALSE (рег. № 231)</t>
  </si>
  <si>
    <t>INSPECTOR-7-LIC-32-F-AL</t>
  </si>
  <si>
    <t>Средство анализа защищенности «Сканер-ВС». Лицензия включает компонент «Инспектор». НПЕШ.00606-01. Лицензия на 32 IP адреса на 1 год  c OC CH ALSE (рег. № 231)</t>
  </si>
  <si>
    <t>INSPECTOR-7-LIC-64-F-AL</t>
  </si>
  <si>
    <t>Средство анализа защищенности «Сканер-ВС». Лицензия включает компонент «Инспектор». НПЕШ.00606-01. Лицензия на 64 IP адреса на 1 год  c OC CH ALSE (рег. № 231)</t>
  </si>
  <si>
    <t>INSPECTOR-7-LIC-128-F-AL</t>
  </si>
  <si>
    <t>Средство анализа защищенности «Сканер-ВС». Лицензия включает компонент «Инспектор». НПЕШ.00606-01. Лицензия на 128 IP адресов на 1 год  c OC CH ALSE (рег. № 231)</t>
  </si>
  <si>
    <t>INSPECTOR-7-LIC-256-F-AL</t>
  </si>
  <si>
    <t>Средство анализа защищенности «Сканер-ВС». Лицензия включает компонент «Инспектор». НПЕШ.00606-01. Лицензия на 256 IP адресов на 1 год  c OC CH ALSE (рег. № 231)</t>
  </si>
  <si>
    <t>INSPECTOR-7-LIC-512-F-AL</t>
  </si>
  <si>
    <t>Средство анализа защищенности «Сканер-ВС». Лицензия включает компонент «Инспектор». НПЕШ.00606-01. Лицензия на 512 IP адресов на 1 год  c OC CH ALSE (рег. № 231)</t>
  </si>
  <si>
    <t>INSPECTOR-7-LIC-1024-F-AL</t>
  </si>
  <si>
    <t>Средство анализа защищенности «Сканер-ВС». Лицензия включает компонент «Инспектор». НПЕШ.00606-01. Лицензия на 1024 IP адреса на 1 год  c OC CH ALSE (рег. № 231)</t>
  </si>
  <si>
    <t>INSPECTOR-7-LIC-2048-F-AL</t>
  </si>
  <si>
    <t>INSPECTOR-7-LIC-4096-F-AL</t>
  </si>
  <si>
    <t>INSPECTOR-7-LIC-8192-F-AL</t>
  </si>
  <si>
    <t>Средство анализа защищенности «Сканер-ВС». Лицензия включает компонент «Инспектор». НПЕШ.00606-01. Лицензия на 8192 IP адреса на 1 год  c OC CH ALSE (рег. № 231)</t>
  </si>
  <si>
    <t>INSPECTOR-7-LIC-UNL-F-AL</t>
  </si>
  <si>
    <t xml:space="preserve"> Средство анализа защищенности «Сканер-ВС». Лицензия включает компонент «Инспектор». НПЕШ.00606-01.  Лицензия без ограничения IP адресов на 1 год c OC CH ALSE (рег. № 231)</t>
  </si>
  <si>
    <t>Переход на новую версию (с 6-й на 7-ю)</t>
  </si>
  <si>
    <t>INSPECTOR-6/7-LIC-08-F-UPP</t>
  </si>
  <si>
    <t>Средство анализа защищенности «Сканер-ВС». Обновление до 7-й версии. Лицензия включает компонент «Инспектор», на 8 IP адресов (рег. № 231)</t>
  </si>
  <si>
    <t>INSPECTOR-6/7-LIC-16-F-UPP</t>
  </si>
  <si>
    <t>Средство анализа защищенности «Сканер-ВС». Обновление до 7-й версии. Лицензия включает компонент «Инспектор»,  на 16 IP адресов (рег. № 231)</t>
  </si>
  <si>
    <t>INSPECTOR-6/7-LIC-32-F-UPP</t>
  </si>
  <si>
    <t>Средство анализа защищенности «Сканер-ВС».  Обновление до 7-й версии. Лицензия включает компонент «Инспектор», на 32 IP адреса (рег. № 231)</t>
  </si>
  <si>
    <t>INSPECTOR-6/7-LIC-64-F-UPP</t>
  </si>
  <si>
    <t>Средство анализа защищенности «Сканер-ВС». Обновление до 7-й версии. Лицензия включает компонент «Инспектор»,  на 64 IP адреса (рег. № 231)</t>
  </si>
  <si>
    <t>INSPECTOR-6/7-LIC-128-F-UPP</t>
  </si>
  <si>
    <t>Средство анализа защищенности «Сканер-ВС». Обновление до 7-й версии. Лицензия включает компонент «Инспектор»,  на 128 IP адресов (рег. № 231)</t>
  </si>
  <si>
    <t>INSPECTOR-6/7-LIC-256-F-UPP</t>
  </si>
  <si>
    <t>Средство анализа защищенности «Сканер-ВС». Обновление до 7-й версии. Лицензия включает компонент «Инспектор»,  на 256 IP адресов (рег. № 231)</t>
  </si>
  <si>
    <t>INSPECTOR-6/7-LIC-512-F-UPP</t>
  </si>
  <si>
    <t>Средство анализа защищенности «Сканер-ВС». Обновление до 7-й версии. Лицензия включает компонент «Инспектор»,  на 512 IP адресов (рег. № 231)</t>
  </si>
  <si>
    <t>INSPECTOR-6/7-LIC-1024-F-UPP</t>
  </si>
  <si>
    <t>Средство анализа защищенности «Сканер-ВС». Обновление до 7-й версии. Лицензия включает компонент «Инспектор»,  на 1024 IP адреса (рег. № 231)</t>
  </si>
  <si>
    <t>INSPECTOR-6/7-LIC-2048-F-UPP</t>
  </si>
  <si>
    <t>INSPECTOR-6/7-LIC-4096-F-UPP</t>
  </si>
  <si>
    <t>INSPECTOR-6/7-LIC-8192-F-UPP</t>
  </si>
  <si>
    <t>INSPECTOR-6/7-LIC-UNL-F-UPP</t>
  </si>
  <si>
    <t xml:space="preserve"> Средство анализа защищенности «Сканер-ВС». Обновление до 7-й версии. Лицензия включает компонент «Инспектор». НПЕШ.00606-01. Лицензия без ограничения IP адресов (рег. № 231)</t>
  </si>
  <si>
    <t>Переход на новую версию (с 5-й на 7-ю)</t>
  </si>
  <si>
    <t>INSPECTOR-5/7-LIC-08-F-UPP</t>
  </si>
  <si>
    <r>
      <t xml:space="preserve">Переход на 7 версию "Сканер-ВС Инспектор".
*переход возможен не ранее 3-х месяцев после приобретения версии Сканер-ВС 5.0. 
В стоимость не входит стоимость ОС Astra LinuX SE
</t>
    </r>
    <r>
      <rPr>
        <b/>
        <sz val="9"/>
        <color theme="1"/>
        <rFont val="Microsoft Tai Le"/>
        <family val="2"/>
      </rPr>
      <t>Соответствует срокам действующей лицензии</t>
    </r>
  </si>
  <si>
    <t>INSPECTOR-5/7-LIC-16-F-UPP</t>
  </si>
  <si>
    <t>INSPECTOR-5/7-LIC-32-F-UPP</t>
  </si>
  <si>
    <t>INSPECTOR-5/7-LIC-64-F-UPP</t>
  </si>
  <si>
    <t>INSPECTOR-5/7-LIC-128-F-UPP</t>
  </si>
  <si>
    <t>INSPECTOR-5/7-LIC-256-F-UPP</t>
  </si>
  <si>
    <t>INSPECTOR-5/7-LIC-512-F-UPP</t>
  </si>
  <si>
    <t>INSPECTOR-5/7-LIC-1024-F-UPP</t>
  </si>
  <si>
    <t>INSPECTOR-5/7-LIC-UNL-F-UPP</t>
  </si>
  <si>
    <t>INSPECTOR-7-50-ADD-F</t>
  </si>
  <si>
    <t>Средство анализа защищенности «Сканер-ВС». Лицензия включает компонент «Инспектор». Дополнительный IP к лицензии на 1 год (1-50)</t>
  </si>
  <si>
    <t xml:space="preserve">Дополнительный IP к лицензии на 1 год </t>
  </si>
  <si>
    <t>INSPECTOR-7-100-ADD-F</t>
  </si>
  <si>
    <t>Средство анализа защищенности «Сканер-ВС». Лицензия включает компонент «Инспектор». Дополнительный IP к лицензии на 1 год (51-100)</t>
  </si>
  <si>
    <t>INSPECTOR-7-200-ADD-F</t>
  </si>
  <si>
    <t>Средство анализа защищенности «Сканер-ВС». Лицензия включает компонент «Инспектор». Дополнительный IP к лицензии на 1 год (101-200)</t>
  </si>
  <si>
    <t>INSPECTOR-7-500-ADD-F</t>
  </si>
  <si>
    <t>Средство анализа защищенности «Сканер-ВС». Лицензия включает компонент «Инспектор». Дополнительный IP к лицензии на 1 год (201-500)</t>
  </si>
  <si>
    <t>INSPECTOR-7-08-UP-F</t>
  </si>
  <si>
    <r>
      <t>Средство анализа защищенности «Сканер-ВС». Лицензия включает компонент «Инспектор». НПЕШ.00606-01. Продление лицензии на</t>
    </r>
    <r>
      <rPr>
        <sz val="9"/>
        <rFont val="Microsoft Tai Le"/>
        <family val="2"/>
      </rPr>
      <t xml:space="preserve"> 8 IP адресов на 1 год (рег. № 231)</t>
    </r>
  </si>
  <si>
    <t>Продление ранее приобретенной лицензии ПО «Сканер-ВС Инспектор» на 1 год. 1 год обновления базы уязвимостей и технической поддержки. Сертификат ФСТЭК России по 4 уровню доверия. Продление возможно в течение 2х месяцев с даты окончания лицензии</t>
  </si>
  <si>
    <t>INSPECTOR-7-16-UP-F</t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</si>
  <si>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16 IP адресов на 1 год (рег. № 231)</t>
    </r>
  </si>
  <si>
    <t>INSPECTOR-7-32-UP-F</t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</si>
  <si>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32 IP адреса на 1 год (рег. № 231)</t>
    </r>
  </si>
  <si>
    <t>Продление ранее приобретенной лицензии ПО «Сканер-ВС Инспектор» на 1 год. 1 год обновления базы уязвимостей и технической поддержки. Сертификат ФСТЭК России по 4 уровню доверия.Продление возможно в течение 2х месяцев с даты окончания лицензии</t>
  </si>
  <si>
    <t>INSPECTOR-7-64-UP-F</t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</si>
  <si>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64 IP адреса на 1 год (рег. № 231)</t>
    </r>
  </si>
  <si>
    <t>INSPECTOR-7-128-UP-F</t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</si>
  <si>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128 IP адресов на 1 год (рег. № 231)</t>
    </r>
  </si>
  <si>
    <t>INSPECTOR-7-256-UP-F</t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</si>
  <si>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256 IP адресов на 1 год (рег. № 231)</t>
    </r>
  </si>
  <si>
    <t>Продление ранее приобретенной лицензии ПО «Сканер-ВС Инспектор» на 1 год. 1 год обновления базы уязвимостей и технической поддержки. Сертификат ФСТЭК России по 4 уровню доверия.</t>
  </si>
  <si>
    <t>INSPECTOR-7-512-UP-F</t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</si>
  <si>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512 IP адресов на 1 год (рег. № 231)</t>
    </r>
  </si>
  <si>
    <t>INSPECTOR-7-1024-UP-F</t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</si>
  <si>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1024 IP адреса на 1 год (рег. № 231)</t>
    </r>
  </si>
  <si>
    <t>INSPECTOR-7-2048-UP-F</t>
  </si>
  <si>
    <t>INSPECTOR-7-4096-UP-F</t>
  </si>
  <si>
    <t>INSPECTOR-7-8192-UP-F</t>
  </si>
  <si>
    <r>
      <t>Средство анализа защищенности «Сканер-ВС». Лицензия включает компонент «Инспектор». НПЕШ.00606-01. Продление лицензии на</t>
    </r>
    <r>
      <rPr>
        <sz val="9"/>
        <rFont val="Microsoft Tai Le"/>
        <family val="2"/>
      </rPr>
      <t xml:space="preserve"> 8192 IP адреса на 1 год (рег. № 231</t>
    </r>
  </si>
  <si>
    <t>INSPECTOR-7-LIC-UNL-UP-F</t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</si>
  <si>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безлимитное количество IP адресов на 1 год (рег. № 231</t>
    </r>
  </si>
  <si>
    <t>INSPECTOR-7-50-ADD-UP-F</t>
  </si>
  <si>
    <t>Средство анализа защищенности «Сканер-ВС». Лицензия включает компонент «Инспектор». Дополнительный IP к продлению лицензии на 1 год (1-50)</t>
  </si>
  <si>
    <t>INSPECTOR-7-100-ADD-UP-F</t>
  </si>
  <si>
    <t>Средство анализа защищенности «Сканер-ВС». Лицензия включает компонент «Инспектор». Дополнительный IP к продлению лицензии на 1 год (51-100)</t>
  </si>
  <si>
    <t>INSPECTOR-7-200-ADD-UP-F</t>
  </si>
  <si>
    <t>Средство анализа защищенности «Сканер-ВС». Лицензия включает компонент «Инспектор». Дополнительный IP к продлению лицензии на 1 год (101-200)</t>
  </si>
  <si>
    <t>INSPECTOR-7-500-ADD-UP-F</t>
  </si>
  <si>
    <t>Средство анализа защищенности «Сканер-ВС». Лицензия включает компонент «Инспектор». Дополнительный IP к продлению лицензии на 1 год (201-500)</t>
  </si>
  <si>
    <t>Комплект поставки 
Сканер-ВС 7 Инспектор:</t>
  </si>
  <si>
    <t>1. Лицензия на бумажном носителе
2. Сертификат ТП на бумажном носителе
3. Упаковка
4. Носитель c дистрибутивом и документацией  (4+ DVD, 256+ - USB Flash)
5. Формуляр
6. Копия сертификата соответствия
7. Ведомость эксплуатационных документов</t>
  </si>
  <si>
    <t>Комплект поставки Сканер-ВС 7 Инспектор LiveUSB:</t>
  </si>
  <si>
    <t xml:space="preserve">Электронная поставка - Средство анализа защищенности «Сканер-ВС» 7 включает компонент "Инспектор". Сертификат ФСТЭК </t>
  </si>
  <si>
    <t>INSPECTOR-7-LIC-08-F-EL</t>
  </si>
  <si>
    <r>
      <t xml:space="preserve">Лицензия ПО «Сканер-ВС Инспектор» на 1 год. 1 год обновления базы уязвимостей и технической поддержки.
Сертификат ФСТЭК России по 4 уровню доверия.
</t>
    </r>
    <r>
      <rPr>
        <b/>
        <sz val="9"/>
        <color theme="1"/>
        <rFont val="Microsoft Tai Le"/>
        <family val="2"/>
      </rPr>
      <t>Электронная поставка.</t>
    </r>
  </si>
  <si>
    <t>INSPECTOR-7-LIC-16-F-EL</t>
  </si>
  <si>
    <t>INSPECTOR-7-LIC-32-F-EL</t>
  </si>
  <si>
    <t>INSPECTOR-7-LIC-64-F-EL</t>
  </si>
  <si>
    <t>INSPECTOR-7-LIC-128-F-EL</t>
  </si>
  <si>
    <t>INSPECTOR-7-LIC-256-F-EL</t>
  </si>
  <si>
    <t>INSPECTOR-7-LIC-512-F-EL</t>
  </si>
  <si>
    <t>INSPECTOR-7-LIC-1024-F-EL</t>
  </si>
  <si>
    <t>INSPECTOR-7-LIC-2048-F-EL</t>
  </si>
  <si>
    <t>INSPECTOR-7-LIC-4096-F-EL</t>
  </si>
  <si>
    <t>INSPECTOR-7-LIC-8192-F-EL</t>
  </si>
  <si>
    <t>INSPECTOR-7-LIC-UNL-F-EL</t>
  </si>
  <si>
    <t>INSPECTOR-6/7-LIC-08-F-UPP-EL</t>
  </si>
  <si>
    <r>
      <t xml:space="preserve">Переход на 7 версию "Сканер-ВС Инспектор".
*переход возможен не ранее 3-х месяцев после приобретения версии Сканер-ВС 6.0. 
В стоимость не входит стоимость ОС Astra LinuX SE
</t>
    </r>
    <r>
      <rPr>
        <b/>
        <sz val="9"/>
        <color theme="1"/>
        <rFont val="Microsoft Tai Le"/>
        <family val="2"/>
      </rPr>
      <t>Соответствует срокам действующей лицензии.
Электронная поставка.</t>
    </r>
  </si>
  <si>
    <t>INSPECTOR-6/7-LIC-16-F-UPP-EL</t>
  </si>
  <si>
    <t>INSPECTOR-6/7-LIC-32-F-UPP-EL</t>
  </si>
  <si>
    <t>INSPECTOR-6/7-LIC-64-F-UPP-EL</t>
  </si>
  <si>
    <t>INSPECTOR-6/7-LIC-128-F-UPP-EL</t>
  </si>
  <si>
    <t>INSPECTOR-6/7-LIC-256-F-UPP-EL</t>
  </si>
  <si>
    <t>INSPECTOR-6/7-LIC-512-F-UPP-EL</t>
  </si>
  <si>
    <t>INSPECTOR-6/7-LIC-1024-F-UPP-EL</t>
  </si>
  <si>
    <t>INSPECTOR-6/7-LIC-2048-F-UPP-EL</t>
  </si>
  <si>
    <t>INSPECTOR-6/7-LIC-4096-F-UPP-EL</t>
  </si>
  <si>
    <t>INSPECTOR-6/7-LIC-8192-F-UPP-EL</t>
  </si>
  <si>
    <t>INSPECTOR-6/7-LIC-UNL-F-UPP-EL</t>
  </si>
  <si>
    <t>INSPECTOR-5/7-LIC-08-F-UPP-EL</t>
  </si>
  <si>
    <r>
      <t xml:space="preserve">Переход на 7 версию "Сканер-ВС Инспектор".
*переход возможен не ранее 3-х месяцев после приобретения версии Сканер-ВС 5.0. 
В стоимость не входит стоимость ОС Astra LinuX SE
</t>
    </r>
    <r>
      <rPr>
        <b/>
        <sz val="9"/>
        <color theme="1"/>
        <rFont val="Microsoft Tai Le"/>
        <family val="2"/>
      </rPr>
      <t>Соответствует срокам действующей лицензии.</t>
    </r>
    <r>
      <rPr>
        <sz val="9"/>
        <color theme="1"/>
        <rFont val="Microsoft Tai Le"/>
        <family val="2"/>
      </rPr>
      <t xml:space="preserve">
</t>
    </r>
    <r>
      <rPr>
        <b/>
        <sz val="9"/>
        <color theme="1"/>
        <rFont val="Microsoft Tai Le"/>
        <family val="2"/>
      </rPr>
      <t>Электронная поставка.</t>
    </r>
  </si>
  <si>
    <t>INSPECTOR-5/7-LIC-16-F-UPP-EL</t>
  </si>
  <si>
    <t>INSPECTOR-5/7-LIC-32-F-UPP-EL</t>
  </si>
  <si>
    <t>INSPECTOR-5/7-LIC-64-F-UPP-EL</t>
  </si>
  <si>
    <t>INSPECTOR-5/7-LIC-128-F-UPP-EL</t>
  </si>
  <si>
    <t>INSPECTOR-5/7-LIC-256-F-UPP-EL</t>
  </si>
  <si>
    <t>INSPECTOR-5/7-LIC-512-F-UPP-EL</t>
  </si>
  <si>
    <t>INSPECTOR-5/7-LIC-1024-F-UPP-EL</t>
  </si>
  <si>
    <t>INSPECTOR-5/7-LIC-UNL-F-UPP-EL</t>
  </si>
  <si>
    <t>INSPECTOR-7-50-ADD-F-EL</t>
  </si>
  <si>
    <r>
      <t xml:space="preserve">Дополнительный IP к лицензии на 1 год.
</t>
    </r>
    <r>
      <rPr>
        <b/>
        <sz val="9"/>
        <color theme="1"/>
        <rFont val="Microsoft Tai Le"/>
        <family val="2"/>
      </rPr>
      <t>Электронная поставка.</t>
    </r>
  </si>
  <si>
    <t>INSPECTOR-7-100-ADD-F-EL</t>
  </si>
  <si>
    <t>INSPECTOR-7-200-ADD-F-EL</t>
  </si>
  <si>
    <t>INSPECTOR-7-500-ADD-F-EL</t>
  </si>
  <si>
    <t>INSPECTOR-7-08-UP-F-EL</t>
  </si>
  <si>
    <r>
      <t xml:space="preserve">Продление ранее приобретенной лицензии ПО «Сканер-ВС Инспектор» на 1 год. 1 год обновления базы уязвимостей и технической поддержки. Сертификат ФСТЭК России по 4 уровню доверия. Продление возможно в течение 2х месяцев с даты окончания лицензии.
</t>
    </r>
    <r>
      <rPr>
        <b/>
        <sz val="9"/>
        <color theme="1"/>
        <rFont val="Microsoft Tai Le"/>
        <family val="2"/>
      </rPr>
      <t>Электронная поставка.</t>
    </r>
  </si>
  <si>
    <t>INSPECTOR-7-16-UP-F-EL</t>
  </si>
  <si>
    <t>INSPECTOR-7-32-UP-F-EL</t>
  </si>
  <si>
    <t>INSPECTOR-7-64-UP-F-EL</t>
  </si>
  <si>
    <t>INSPECTOR-7-128-UP-F-EL</t>
  </si>
  <si>
    <t>INSPECTOR-7-256-UP-F-EL</t>
  </si>
  <si>
    <t>INSPECTOR-7-512-UP-F-EL</t>
  </si>
  <si>
    <t>INSPECTOR-7-1024-UP-F-EL</t>
  </si>
  <si>
    <t>INSPECTOR-7-2048-UP-F-EL</t>
  </si>
  <si>
    <t>INSPECTOR-7-4096-UP-F-EL</t>
  </si>
  <si>
    <t>INSPECTOR-7-8192-UP-F-EL</t>
  </si>
  <si>
    <t>INSPECTOR-7-LIC-UNL-UP-F-EL</t>
  </si>
  <si>
    <t>INSPECTOR-7-50-ADD-UP-F-EL</t>
  </si>
  <si>
    <t>INSPECTOR-7-100-ADD-UP-F-EL</t>
  </si>
  <si>
    <t>INSPECTOR-7-200-ADD-UP-F-EL</t>
  </si>
  <si>
    <t>INSPECTOR-7-500-ADD-UP-F-EL</t>
  </si>
  <si>
    <t>INSPECTOR-7-256-E-F</t>
  </si>
  <si>
    <t>Программное обеспечение "Сканер-ВС". Лицензия Enterprise включает компонент «Инспектор» на 256 активов на 1 год (рег. № 231)</t>
  </si>
  <si>
    <t>Лицензия на программное обеспечение "Сканер-ВС". Лицензия Enterprise включает компонент «Инспектор» на 1 год. 
Обновления базы уязвимостей, технической поддержки и аудита конфигурации ОС в течение 1 года.
Сертификат ФСТЭК России по 4 уровню доверия.</t>
  </si>
  <si>
    <t>INSPECTOR-7-512-E-F</t>
  </si>
  <si>
    <t>Программное обеспечение "Сканер-ВС". Лицензия Enterprise включает компонент «Инспектор» на 512 активов на 1 год (рег. № 231)</t>
  </si>
  <si>
    <t>INSPECTOR-7-1024-E-F</t>
  </si>
  <si>
    <t>Программное обеспечение "Сканер-ВС". Лицензия Enterprise включает компонент «Инспектор» на 1024 активов на 1 год (рег. № 231)</t>
  </si>
  <si>
    <t>INSPECTOR-7-2048-E-F</t>
  </si>
  <si>
    <t>Программное обеспечение "Сканер-ВС". Лицензия Enterprise включает компонент «Инспектор» на 2048 активов на 1 год (рег. № 231)</t>
  </si>
  <si>
    <t>INSPECTOR-7-4096-E-F</t>
  </si>
  <si>
    <t>Программное обеспечение "Сканер-ВС". Лицензия Enterprise включает компонент «Инспектор» на 4096 активов на 1 год (рег. № 231)</t>
  </si>
  <si>
    <t>INSPECTOR-7-8192-E-F</t>
  </si>
  <si>
    <t>Программное обеспечение "Сканер-ВС". Лицензия Enterprise включает компонент «Инспектор» на 8192 активов на 1 год (рег. № 231)</t>
  </si>
  <si>
    <t>INSPECTOR-7-unl-E-F</t>
  </si>
  <si>
    <t>Программное обеспечение "Сканер-ВС". Лицензия Enterprise включает компонент «Инспектор» без ограничений по количеству активов на 1 год (рег. № 231)</t>
  </si>
  <si>
    <t>INSPECTOR-VS-7-B/7-E-256-F-UPP</t>
  </si>
  <si>
    <t>Средство анализа защищенности «Сканер-ВС» включает компонент «Инспектор». НПЕШ.00606-01. Переход с 7-й версии Base на Enterprise. Лицензия на 256 активов (рег. № 231)</t>
  </si>
  <si>
    <t>INSPECTOR-VS-7-B/7-E-512-F-UPP</t>
  </si>
  <si>
    <t>Средство анализа защищенности «Сканер-ВС» включает компонент «Инспектор». НПЕШ.00606-01. Переход с 7-й версии Base на Enterprise. Лицензия на 512 активов (рег. № 231)</t>
  </si>
  <si>
    <t>INSPECTOR-VS-7-B/7-E-1024-F-UPP</t>
  </si>
  <si>
    <t>Средство анализа защищенности «Сканер-ВС» включает компонент «Инспектор». НПЕШ.00606-01. Переход с 7-й версии Base на Enterprise. Лицензия на 1024 активов (рег. № 231)</t>
  </si>
  <si>
    <t>INSPECTOR-VS-7-B/7-E-2048-F-UPP</t>
  </si>
  <si>
    <t>Средство анализа защищенности «Сканер-ВС» включает компонент «Инспектор». НПЕШ.00606-01. Переход с 7-й версии Base на Enterprise. Лицензия на 2048 активов (рег. № 231)</t>
  </si>
  <si>
    <t>INSPECTOR-VS-7-B/7-E-4096-F-UPP</t>
  </si>
  <si>
    <t>Средство анализа защищенности «Сканер-ВС» включает компонент «Инспектор». НПЕШ.00606-01. Переход с 7-й версии Base на Enterprise. Лицензия на 4096 активов (рег. № 231)</t>
  </si>
  <si>
    <t>INSPECTOR-VS-7-B/7-E-8192-F-UPP</t>
  </si>
  <si>
    <t>Средство анализа защищенности «Сканер-ВС» включает компонент «Инспектор». НПЕШ.00606-01. Переход с 7-й версии Base на Enterprise. Лицензия на 8192 активов (рег. № 231)</t>
  </si>
  <si>
    <t>INSPECTOR-VS-7-B/7-E-unl-F-UPP</t>
  </si>
  <si>
    <t>Средство анализа защищенности «Сканер-ВС» включает компонент «Инспектор». НПЕШ.00606-01. Переход с 7-й версии Base на Enterprise. Лицензия на без ограничений по количеству активов (рег. № 231)</t>
  </si>
  <si>
    <t>INSPECTOR-7-50-ADD-E-F</t>
  </si>
  <si>
    <t>Программное обеспечение "Сканер-ВС". Лицензия Enterprise включает компонент «Инспектор». Дополнительные активы к лицензии на 1 год (1-50)</t>
  </si>
  <si>
    <t>INSPECTOR-7-100-ADD-E-F</t>
  </si>
  <si>
    <t>Программное обеспечение "Сканер-ВС". Лицензия Enterprise включает компонент «Инспектор». Дополнительные активы к лицензии на 1 год (51-100)</t>
  </si>
  <si>
    <t>INSPECTOR-7-200-ADD-E-F</t>
  </si>
  <si>
    <t>Программное обеспечение "Сканер-ВС". Лицензия Enterprise включает компонент «Инспектор». Дополнительные активы к лицензии на 1 год (101-200)</t>
  </si>
  <si>
    <t>INSPECTOR-7-500-ADD-E-F</t>
  </si>
  <si>
    <t>Программное обеспечение "Сканер-ВС". Лицензия Enterprise включает компонент «Инспектор». Дополнительные активы к лицензии на 1 год (201-500)</t>
  </si>
  <si>
    <t>INSPECTOR-VS-7-256-UP-E-F</t>
  </si>
  <si>
    <t>Программное средство "Сканер-ВС". Лицензия включает компонент «Инспектор». НПЕШ.00606-01. Продление лицензии Enterprise на 256 активов на 1 год (рег. № 231)</t>
  </si>
  <si>
    <t>INSPECTOR-VS-7-512-UP-E-F</t>
  </si>
  <si>
    <t>Программное средство "Сканер-ВС". Лицензия включает компонент «Инспектор». НПЕШ.00606-01. Продление лицензии Enterprise на 512 активов на 1 год (рег. № 231)</t>
  </si>
  <si>
    <t>INSPECTOR-7-1024-UP-E-F</t>
  </si>
  <si>
    <t>Программное средство "Сканер-ВС". Лицензия включает компонент «Инспектор». НПЕШ.00606-01. Продление лицензии Enterprise на 1024 активов на 1 год (рег. № 231)</t>
  </si>
  <si>
    <t>INSPECTOR-7-2048-UP-E-F</t>
  </si>
  <si>
    <t>Программное средство "Сканер-ВС". Лицензия включает компонент «Инспектор». НПЕШ.00606-01. Продление лицензии Enterprise на 2048 активов на 1 год (рег. № 231)</t>
  </si>
  <si>
    <t>INSPECTOR-7-4096-UP-E-F</t>
  </si>
  <si>
    <t>Программное средство "Сканер-ВС". Лицензия включает компонент «Инспектор». НПЕШ.00606-01. Продление лицензии Enterprise на 4096 активов на 1 год (рег. № 231)</t>
  </si>
  <si>
    <t>INSPECTOR-7-8192-UP-E-F</t>
  </si>
  <si>
    <t>Программное средство "Сканер-ВС". Лицензия включает компонент «Инспектор». НПЕШ.00606-01. Продление лицензии Enterprise на 8192 активов на 1 год (рег. № 231)</t>
  </si>
  <si>
    <t>INSPECTOR-7-unl-UP-E-F</t>
  </si>
  <si>
    <t>Программное средство "Сканер-ВС". Лицензия включает компонент «Инспектор». НПЕШ.00606-01. Продление лицензии Enterprise без ограничений по количеству активов на 1 год (рег. № 231)</t>
  </si>
  <si>
    <t>INSPECTOR-7-50-ADD-UP-E-F</t>
  </si>
  <si>
    <t>INSPECTOR-7-100-ADD-UP-E-F</t>
  </si>
  <si>
    <t>INSPECTOR-7-200-ADD-UP-E-F</t>
  </si>
  <si>
    <t>INSPECTOR-7-500-ADD-UP-E-F</t>
  </si>
  <si>
    <t>Комплект поставки 
Сканер-ВС 7 Enterprise Инспектор:</t>
  </si>
  <si>
    <t xml:space="preserve">1. Лицензия на бумажном носителе
2. Сертификат ТП на бумажном носителе
3. Упаковка
4. Носитель c дистрибутивом и документацией  (4+ DVD, 256+ - USB Flash)
5. Формуляр
6. Копия сертификата соответствия
7. Ведомость эксплуатационных документов </t>
  </si>
  <si>
    <t>INSPECTOR-7-8-E-F-EL</t>
  </si>
  <si>
    <r>
      <t xml:space="preserve">Лицензия на программное обеспечение "Сканер-ВС". Лицензия Enterprise включает компонент «Инспектор» на 1 год. 
Обновления базы уязвимостей, технической поддержки и аудита конфигурации ОС в течение 1 года.
Сертификат ФСТЭК России по 4 уровню доверия.
</t>
    </r>
    <r>
      <rPr>
        <b/>
        <sz val="9"/>
        <color theme="1"/>
        <rFont val="Microsoft Tai Le"/>
        <family val="2"/>
      </rPr>
      <t>Электронная поставка.</t>
    </r>
  </si>
  <si>
    <t>INSPECTOR-7-16-E-F-EL</t>
  </si>
  <si>
    <t>INSPECTOR-7-32-E-F-EL</t>
  </si>
  <si>
    <t>INSPECTOR-7-64-E-F-EL</t>
  </si>
  <si>
    <t>INSPECTOR-7-128-E-F-EL</t>
  </si>
  <si>
    <t>INSPECTOR-7-256-E-F-EL</t>
  </si>
  <si>
    <t>INSPECTOR-7-512-E-F-EL</t>
  </si>
  <si>
    <t>INSPECTOR-7-1024-E-F-EL</t>
  </si>
  <si>
    <t>INSPECTOR-7-2048-E-F-EL</t>
  </si>
  <si>
    <t>INSPECTOR-7-4096-E-F-EL</t>
  </si>
  <si>
    <t>INSPECTOR-7-8192-E-F-EL</t>
  </si>
  <si>
    <t>INSPECTOR-7-unl-E-F-EL</t>
  </si>
  <si>
    <t>INSPECTOR-VS-7-B/7-E-08-F-UPP-EL</t>
  </si>
  <si>
    <t>INSPECTOR-VS-7-B/7-E-16-F-UPP-EL</t>
  </si>
  <si>
    <t>INSPECTOR-VS-7-B/7-E-32-F-UPP-EL</t>
  </si>
  <si>
    <t>INSPECTOR-VS-7-B/7-E-64-F-UPP-EL</t>
  </si>
  <si>
    <t>INSPECTOR-VS-7-B/7-E-128-F-UPP-EL</t>
  </si>
  <si>
    <t>INSPECTOR-VS-7-B/7-E-256-F-UPP-EL</t>
  </si>
  <si>
    <t>INSPECTOR-VS-7-B/7-E-512-F-UPP-EL</t>
  </si>
  <si>
    <t>INSPECTOR-VS-7-B/7-E-1024-F-UPP-EL</t>
  </si>
  <si>
    <t>INSPECTOR-VS-7-B/7-E-2048-F-UPP-EL</t>
  </si>
  <si>
    <t>INSPECTOR-VS-7-B/7-E-4096-F-UPP-EL</t>
  </si>
  <si>
    <t>INSPECTOR-VS-7-B/7-E-8192-F-UPP-EL</t>
  </si>
  <si>
    <t>INSPECTOR-VS-7-B/7-E-unl-F-UPP-EL</t>
  </si>
  <si>
    <t>INSPECTOR-7-50-ADD-E-F-EL</t>
  </si>
  <si>
    <r>
      <t xml:space="preserve">Дополнительные активы к лицензии  на 1 год.
</t>
    </r>
    <r>
      <rPr>
        <b/>
        <sz val="9"/>
        <color theme="1"/>
        <rFont val="Microsoft Tai Le"/>
        <family val="2"/>
      </rPr>
      <t>Электронная поставка.</t>
    </r>
  </si>
  <si>
    <t>INSPECTOR-7-100-ADD-E-F-EL</t>
  </si>
  <si>
    <t>INSPECTOR-7-200-ADD-E-F-EL</t>
  </si>
  <si>
    <t>INSPECTOR-7-500-ADD-E-F-EL</t>
  </si>
  <si>
    <t>INSPECTOR-VS-7-8-UP-E-F-EL</t>
  </si>
  <si>
    <t>INSPECTOR-VS-7-16-UP-E-F-EL</t>
  </si>
  <si>
    <t>INSPECTOR-VS-7-32-UP-E-F-EL</t>
  </si>
  <si>
    <t>INSPECTOR-VS-7-64-UP-E-F-EL</t>
  </si>
  <si>
    <t>INSPECTOR-VS-7-128-UP-E-F-EL</t>
  </si>
  <si>
    <t>INSPECTOR-VS-7-256-UP-E-F-EL</t>
  </si>
  <si>
    <t>INSPECTOR-VS-7-512-UP-E-F-EL</t>
  </si>
  <si>
    <t>INSPECTOR-7-1024-UP-E-F-EL</t>
  </si>
  <si>
    <t>INSPECTOR-7-2048-UP-E-F-EL</t>
  </si>
  <si>
    <t>INSPECTOR-7-4096-UP-E-F-EL</t>
  </si>
  <si>
    <t>INSPECTOR-7-8192-UP-E-F-EL</t>
  </si>
  <si>
    <t>INSPECTOR-7-unl-UP-E-F-EL</t>
  </si>
  <si>
    <t>INSPECTOR-7-50-ADD-UP-E-F-EL</t>
  </si>
  <si>
    <t>INSPECTOR-7-100-ADD-UP-E-F-EL</t>
  </si>
  <si>
    <t>INSPECTOR-7-200-ADD-UP-E-F-EL</t>
  </si>
  <si>
    <t>INSPECTOR-7-500-ADD-UP-E-F-EL</t>
  </si>
  <si>
    <t>Расчет направляется только по итогам заполненной анкеты</t>
  </si>
  <si>
    <t xml:space="preserve">https://disk.yandex.ru/d/2uniZXQoALjbwA </t>
  </si>
  <si>
    <t>Анализатор исходных текстов программ «АК-ВС 3» без сертификата соответствия</t>
  </si>
  <si>
    <t>AK-VS3-lic-1</t>
  </si>
  <si>
    <t>Анализатор исходных текстов программ «АК-ВС 3». Лицензия на 1 проект сроком на 1 год (рег. № 14300)</t>
  </si>
  <si>
    <t>AK-VS3-lic-5</t>
  </si>
  <si>
    <t>Анализатор исходных текстов программ «АК-ВС 3». Лицензия на 5 одновременно выполняемых проектов сроком на 1 год (рег. № 14300)</t>
  </si>
  <si>
    <t>AK-VS3-lic-Unl</t>
  </si>
  <si>
    <t>Анализатор исходных текстов программ «АК-ВС 3». Лицензия на неограниченное количество одновременно выполняемых проектов сроком на 1 год (рег. № 14300)</t>
  </si>
  <si>
    <t>AK-VS3-lic-S</t>
  </si>
  <si>
    <t>Анализатор исходных текстов программ «АК-ВС 3». Лицензия на неограниченное количество доступных проектов бессрочно (рег. № 14300)</t>
  </si>
  <si>
    <t>AK-VS3-lic-prj</t>
  </si>
  <si>
    <t>Анализатор исходных текстов программ «АК-ВС 3». Лицензия на одновременное использование 1 дополнительного проекта "АК-ВС 3" (рег. № 14300)</t>
  </si>
  <si>
    <t>AK-VS3-SE-lic-А</t>
  </si>
  <si>
    <t>Анализатор исходных текстов программ «АК-ВС 3». Лицензия на 1 проект сроком на 6 месяцев (рег. № 14300)</t>
  </si>
  <si>
    <t>Продление лицензий (без НДС)</t>
  </si>
  <si>
    <t>АК-VS3-UPP-Lic-1</t>
  </si>
  <si>
    <t>Анализатор исходных текстов программ «АК-ВС 3». Продление лицензии на 1 год (рег. № 14300)</t>
  </si>
  <si>
    <t>Продление ранее приобретенной лицензии ПО "АК-ВС 3" на 1 год. 
1 год технической поддержки</t>
  </si>
  <si>
    <t>АК-VS3-UPP-Lic-5</t>
  </si>
  <si>
    <t>Анализатор исходных текстов программ «АК-ВС 3». Продление лицензии на 5 проектов на 1 год (рег. № 14300)</t>
  </si>
  <si>
    <t>АК-VS3-UPP-Lic-Unl</t>
  </si>
  <si>
    <t>Анализатор исходных текстов программ «АК-ВС 3». Продление лицензии на неограниченное количество проектов на 1 год (рег. № 14300)</t>
  </si>
  <si>
    <t>AK-VS3-UPP-prj-А</t>
  </si>
  <si>
    <t>Анализатор исходных текстов программ «АК-ВС 3». Продление лицензии права использования 1 дополнительного проекта  на 1 год (рег. № 14300)</t>
  </si>
  <si>
    <t>Продление ранее приобретенной лицензии на дополнительный проект ПО "АК-ВС 3" на 1 год</t>
  </si>
  <si>
    <t>Дополнительные языки (без НДС)</t>
  </si>
  <si>
    <t>AK-VS3-LANG-lic-ext</t>
  </si>
  <si>
    <t>Анализатор исходных текстов программ «АК-ВС 3». Лицензия на 1 язык из дополнительного перечня (рег. № 14300)</t>
  </si>
  <si>
    <t>от 800 000,00 до 
1 750 000,00 ₽</t>
  </si>
  <si>
    <t>Modula2, Pascal, Lua, 1С, Assembler (MASM), Ruby, Erlang, ADVPL, PLX, VHDL, Verilog, Rust, Scala, Kotlin, Closure, Swift.</t>
  </si>
  <si>
    <t>AK-VS3-LANG-lic-dev</t>
  </si>
  <si>
    <t>Анализатор исходных текстов программ «АК-ВС 3». Лицензия на 1 язык, не входящий в основной или дополнительный перечень (рег. № 14300)</t>
  </si>
  <si>
    <t>от 1 750 000,00 до 
3 000 000,00 ₽</t>
  </si>
  <si>
    <t>Перечень языков обсуждается индивидуально
(цена зависит от языка программирования и технических требований)</t>
  </si>
  <si>
    <t>Техническая поддержка для бессрочной лицензии (вкл. НДС 22%)</t>
  </si>
  <si>
    <t>Годовая техническая поддержка 8х5, обращения по E-mail, телефон.</t>
  </si>
  <si>
    <t xml:space="preserve">Примечание </t>
  </si>
  <si>
    <t>*Если у заказчика есть действующая лицензия на АК-ВС 2, то на приобретение АК-ВС 3 
предоставляется скидка по статусу золото</t>
  </si>
  <si>
    <t>*Лицензия на 1 проект подразумевает, что в списке проектов возможно будет создавать и работать только с 1 проектом. В случае добавления другого проекта, серверная часть выдаст ошибку. Внутри 1 проекта возможно проведение всех видов анализа неограниченное количество раз во время действия лицензии.</t>
  </si>
  <si>
    <t xml:space="preserve">Комплект поставки: </t>
  </si>
  <si>
    <t xml:space="preserve">1. Лицензия на бумажном носителе
2. Упаковка
3. Носитель c дистрибутивом и документацией 
4. Формуляр
5. Ведомость эксплуатационных </t>
  </si>
  <si>
    <t>AK-VS3-lic-1-EL</t>
  </si>
  <si>
    <t>AK-VS3-lic-5-EL</t>
  </si>
  <si>
    <t>AK-VS3-lic-Unl-EL</t>
  </si>
  <si>
    <t>AK-VS3-lic-S-EL</t>
  </si>
  <si>
    <t>AK-VS3-lic-prj-EL</t>
  </si>
  <si>
    <t>AK-VS3-SE-lic-А-EL</t>
  </si>
  <si>
    <t>АК-VS3-UPP-Lic-1-EL</t>
  </si>
  <si>
    <t>АК-VS3-UPP-Lic-5-EL</t>
  </si>
  <si>
    <t>АК-VS3-UPP-Lic-Unl-EL</t>
  </si>
  <si>
    <t>AK-VS3-UPP-prj-А-EL</t>
  </si>
  <si>
    <t>AK-VS3-LANG-lic-ext-EL</t>
  </si>
  <si>
    <r>
      <t xml:space="preserve">Modula2, Pascal, Lua, 1С, Assembler (MASM), Ruby, Erlang, ADVPL, PLX, VHDL, Verilog, Rust, Scala, Kotlin, Closure, Swift.
</t>
    </r>
    <r>
      <rPr>
        <b/>
        <sz val="9"/>
        <color theme="1"/>
        <rFont val="Microsoft Tai Le"/>
        <family val="2"/>
      </rPr>
      <t>Электронная поставка.</t>
    </r>
  </si>
  <si>
    <t>AK-VS3-LANG-lic-dev-EL</t>
  </si>
  <si>
    <t>Анализатор исходных текстов программ «АК-ВС 3» с сертификатом МО РФ</t>
  </si>
  <si>
    <t>AK-VS3-lic-1-MO</t>
  </si>
  <si>
    <t>Программное обеспечение «Анализатор исходных текстов программ «АК-ВС 3» НПЕШ.00707-23. Лицензия на 1 проект сроком на 1 год, версия с сертификатом Минобороны России (рег. № 31076)</t>
  </si>
  <si>
    <t>AK-VS3-lic-5-MO</t>
  </si>
  <si>
    <t xml:space="preserve">Программное обеспечение «Анализатор исходных текстов программ «АК-ВС 3» НПЕШ.00707-23. Лицензия на 5 одновременно выполняемых проектов сроком на 1 год, версия с сертификатом Минобороны России (рег. № 31076) </t>
  </si>
  <si>
    <t>AK-VS3-lic-Unl-MO</t>
  </si>
  <si>
    <t>Программное обеспечение «Анализатор исходных текстов программ «АК-ВС 3» НПЕШ.00707-23. Лицензия на неограниченное количество одновременно выполняемых проектов сроком на 1 год, версия с сертификатом Минобороны России (рег. № 31076)</t>
  </si>
  <si>
    <t>AK-VS3-lic-prj-MO</t>
  </si>
  <si>
    <t>Программное обеспечение «Анализатор исходных текстов программ «АК-ВС 3» НПЕШ.00707-23. Лицензия на одновременное использование 1 дополнительного проекта «АК-ВС 3» НПЕШ.00707-23, версия с сертификатом Минобороны России (рег. № 31076)</t>
  </si>
  <si>
    <t>АК-VS3-UPP-Lic-1-MO</t>
  </si>
  <si>
    <t>Программное обеспечение «Анализатор исходных текстов программ «АК-ВС 3» НПЕШ.00707-23. Продление лицензии на 1 проект сроком на 1 год, версия с сертификатом Минобороны России (рег. № 31076)</t>
  </si>
  <si>
    <t>АК-VS3-UPP-Lic-5-MO</t>
  </si>
  <si>
    <t>Программное обеспечение «Анализатор исходных текстов программ «АК-ВС 3» НПЕШ.00707-23. Продление лицензии на 5 проектов на 1 год, версия с сертификатом Минобороны России (рег. № 31076)</t>
  </si>
  <si>
    <t>АК-VS3-UPP-Lic-Unl-MO</t>
  </si>
  <si>
    <t>Программное обеспечение «Анализатор исходных текстов программ «АК-ВС 3» НПЕШ.00707-23. Продление лицензии на неограниченное количество проектов на 1 год, версия с сертификатом Минобороны России  (рег. № 31076)</t>
  </si>
  <si>
    <t>AK-VS3-UPP-prj-А-MO</t>
  </si>
  <si>
    <t>Программное обеспечение «Анализатор исходных текстов программ «АК-ВС 3» НПЕШ.00707-23. Продление лицензии права использования 1 дополнительного проекта  на 1 год, версия с сертификатом Минобороны России (рег. № 31076)</t>
  </si>
  <si>
    <t>AK-VS3-LANG-lic-ext-МО</t>
  </si>
  <si>
    <t>Анализатор исходных текстов программ «АК-ВС 3». Лицензия на 1 язык из дополнительного перечня (рег. № 31076)</t>
  </si>
  <si>
    <t>Переход с АК-ВС 2 на АК-ВС 3 (без НДС)</t>
  </si>
  <si>
    <t>AK-VS-2UPP3-MO</t>
  </si>
  <si>
    <r>
      <t xml:space="preserve">переход на лицензию ПО "АК-ВС 3" на 1 год. 
1 год технической поддержки
</t>
    </r>
    <r>
      <rPr>
        <b/>
        <sz val="8"/>
        <color theme="1"/>
        <rFont val="Microsoft Tai Le"/>
        <family val="2"/>
      </rPr>
      <t xml:space="preserve">в случае обновления АК-ВС 3 МО до обновленной версии - будет производиться полная поставка с новым серийным номером. </t>
    </r>
  </si>
  <si>
    <t>Лицензии (без НДС)</t>
  </si>
  <si>
    <t>GN-L-3</t>
  </si>
  <si>
    <t>Программный генератор паролей «Генератор». Лицензия на 3 года (рег. № 1680)</t>
  </si>
  <si>
    <t>Лицензия ПО "Генератор" на 3 года, и 1 год технической поддержки.
Сертификат МО РФ</t>
  </si>
  <si>
    <t xml:space="preserve">GN-D-01 </t>
  </si>
  <si>
    <t xml:space="preserve">Установочный комплект "Генератор"  </t>
  </si>
  <si>
    <t>Установочный комплект с документацией "Генератор"</t>
  </si>
  <si>
    <t>Продление лицензии (без НДС)</t>
  </si>
  <si>
    <t>GN-UPP-L-1</t>
  </si>
  <si>
    <t xml:space="preserve">Программный генератор паролей «Генератор». Продление лицензии на 1 год (рег. № 1680)  </t>
  </si>
  <si>
    <t>Продление ранее приобретенной лицензии ПО "Генератор" на 1 год</t>
  </si>
  <si>
    <t>Программа инспекционного контроля "ПИК-Эшелон". Сертификат МО РФ</t>
  </si>
  <si>
    <t>лицензии (без НДС)</t>
  </si>
  <si>
    <t>PIC-L3</t>
  </si>
  <si>
    <t>Программное обеспечение «Программа инспекционного контроля «ПИК-Эшелон». Лицензия на 3 года (рег. № 1895)</t>
  </si>
  <si>
    <t>Лицензия ПО "ПИК Эшелон" на 3 года, и 1 год технической поддержки.Сертификат МО.
Совместим с ОС: 
Windows 2000/XP/Vista/7/8
МСВС 3 r16
МСВС 5
МСВС Сфера
ЗОС Оливия
Astra Linux "Орел" 
Astra Linux "Смоленск" 
ROSA Marathon 2012
ALT Linux СПТ 6.0 32-bit
ALT Linux СПТ 6.0 64-bit
Debian 6.0</t>
  </si>
  <si>
    <t>PIC-lite</t>
  </si>
  <si>
    <t>Программное обеспечение «Программа инспекционного контроля «ПИК-Эшелон». Версия  lite,  лицензия на 1 год (рег. № 1895)</t>
  </si>
  <si>
    <t>Лицензия ПО "ПИК  Эшелон"  lite на 1 год, и 1 год технической поддержки. Сертификат МО.
Совместим с ОС: 
Windows 2000/XP/Vista/7/8
МСВС 3 r16
МСВС 5
МСВС Сфера
ЗОС Оливия
Astra Linux "Орел" 
Astra Linux "Смоленск" 
ROSA Marathon 2012
ALT Linux СПТ 6.0 32-bit
ALT Linux СПТ 6.0 64-bit
Debian 6.0</t>
  </si>
  <si>
    <t>PIC-D-01</t>
  </si>
  <si>
    <t>Установочный комплект "ПИК Эшелон"</t>
  </si>
  <si>
    <t>Установочный комплект с документацией</t>
  </si>
  <si>
    <t>PIC-D-01-lite</t>
  </si>
  <si>
    <t xml:space="preserve">Установочный комплект "ПИК Эшелон" lite </t>
  </si>
  <si>
    <t>PIC-UPP-L1</t>
  </si>
  <si>
    <t>Программное обеспечение «Программа инспекционного контроля «ПИК-Эшелон». Продление лицензии на 1 год (рег. № 1895)</t>
  </si>
  <si>
    <t>Продление ранее приобретенной лицензии ПО "ПИК-Эшелон" на 1 год</t>
  </si>
  <si>
    <t>PIC-lite-UPP</t>
  </si>
  <si>
    <t>Программное обеспечение «Программа инспекционного контроля «ПИК-Эшелон». Продление лицензии  версии lite на 1 год (рег. № 1895)</t>
  </si>
  <si>
    <t>Продление ранее приобретенной лицензии ПО "ПИК  Эшелон" lite на 1 год</t>
  </si>
  <si>
    <t xml:space="preserve">Стоимость </t>
  </si>
  <si>
    <t>НДС 22%</t>
  </si>
  <si>
    <t>PULSAR</t>
  </si>
  <si>
    <t xml:space="preserve">Генератор шума «Пульсар»  НПЕШ.464116.001 </t>
  </si>
  <si>
    <t>РРЦ</t>
  </si>
  <si>
    <t>RUBIKON-MO-OSH-1</t>
  </si>
  <si>
    <t>Программно-аппаратный комплекс «Комплекс противодействия программно-аппаратным воздействиям (КП ПАВ) «Рубикон» с функцией однонаправленного шлюза» НПЕШ.465614.003</t>
  </si>
  <si>
    <t>Программный комплекс «KOMRAD Enterprise SIEM» V4.5. Сертификат ФСТЭК России</t>
  </si>
  <si>
    <t>Средство  анализа защищенности «Сканер-ВС». НПЕШ.00606-01. Лицензия на 2048 IP-адресов на 1 год (рег. № 231)</t>
  </si>
  <si>
    <t>Средство  анализа защищенности «Сканер-ВС». НПЕШ.00606-01. Лицензия на 4096 IP-адресов на 1 год (рег. № 231)</t>
  </si>
  <si>
    <t>Комплект лицензий Сканер-ВС и Astra Linux, с USB  (без НДС)</t>
  </si>
  <si>
    <t>Средство  анализа защищенности «Сканер-ВС». НПЕШ.00606-01. Лицензия на 2048 IP-адресов на 1 год  c OC CH ALSE (рег. № 231)</t>
  </si>
  <si>
    <t>Средство  анализа защищенности «Сканер-ВС». НПЕШ.00606-01. Лицензия на 4096 IP-адресов на 1 год  c OC CH ALSE (рег. № 231)</t>
  </si>
  <si>
    <t>Средство  анализа защищенности «Сканер-ВС». НПЕШ.00606-01. Обновление до 7-й версии. Лицензия на 2048 IP-адресов (рег. № 231)</t>
  </si>
  <si>
    <t>Средство  анализа защищенности «Сканер-ВС». НПЕШ.00606-01. Обновление до 7-й версии. Лицензия на 4096 IP-адресов (рег. № 231)</t>
  </si>
  <si>
    <t>Средство анализа защищенности «Сканер-ВС». НПЕШ.00606-01. Продление лицензии на 8 IP-адресов на 1 год (рег. № 231)</t>
  </si>
  <si>
    <t>Средство анализа защищенности «Сканер-ВС». НПЕШ.00606-01. Продление лицензии на 2048 IP-адресов на 1 год (рег. № 231)</t>
  </si>
  <si>
    <t>Средство анализа защищенности «Сканер-ВС». НПЕШ.00606-01. Продление лицензии на 4096 IP-адресов на 1 год (рег. № 231)</t>
  </si>
  <si>
    <t>Дополнительные активы к лицензии  на 1 год.
Электронная поставка.</t>
  </si>
  <si>
    <t>Средство анализа защищенности «Сканер-ВС». Лицензия включает компонент «Инспектор». НПЕШ.00606-01. Лицензия на 2048 IP-адресов на 1 год (рег. № 231)</t>
  </si>
  <si>
    <t>Средство анализа защищенности «Сканер-ВС». Лицензия включает компонент «Инспектор». НПЕШ.00606-01. Лицензия на 4096 IP-адресов на 1 год (рег. № 231)</t>
  </si>
  <si>
    <t>Комплект лицензий Сканер-ВС Инспектор и Astra Linux, с USB  (без НДС)</t>
  </si>
  <si>
    <t>Средство анализа защищенности «Сканер-ВС». Лицензия включает компонент «Инспектор». НПЕШ.00606-01. Лицензия на 2048 IP-адресов на 1 год  c OC CH ALSE (рег. № 231)</t>
  </si>
  <si>
    <t>Средство анализа защищенности «Сканер-ВС». Лицензия включает компонент «Инспектор». НПЕШ.00606-01. Лицензия на 4096 IP-адресов на 1 год  c OC CH ALSE (рег. № 231)</t>
  </si>
  <si>
    <t>Средство анализа защищенности «Сканер-ВС». Лицензия включает компонент «Инспектор». НПЕШ.00606-01. Продление лицензии на 2048 IP-адресов на 1 год (рег. № 231)</t>
  </si>
  <si>
    <t>Средство анализа защищенности «Сканер-ВС». Лицензия включает компонент «Инспектор». НПЕШ.00606-01. Продление лицензии на 4096 IP-адресов на 1 год (рег. № 231)</t>
  </si>
  <si>
    <t>Средство анализа защищенности «Сканер-ВС» 7 Enterprise включает компонент "Инспектор". Сертификат ФСТЭК</t>
  </si>
  <si>
    <t>Электронная поставка - Средство анализа защищенности «Сканер-ВС» 7 Enterprise включает компонент "Инспектор". Сертификат ФСТЭК</t>
  </si>
  <si>
    <t>Электронная поставка - Анализатор исходных текстов программ «АК-ВС 3» без сертификата соответствия</t>
  </si>
  <si>
    <t xml:space="preserve">Две электронные ссылки:
1. Лицензия
2. Сертификат ТП 
3. Дистрибутив и документация
4. Формуляр
5. Копия сертификата соответствия
6. Ведомость эксплуатационных документов </t>
  </si>
  <si>
    <t>Две электронные ссылки:
1. Лицензия
2. Сертификат ТП 
3. Дистрибутив и документация
4. Формуляр
5. Копия сертификата соответствия
6. Ведомость эксплуатационных документов</t>
  </si>
  <si>
    <t>Две электронные ссылки:
1. Лицензия
2. Сертификат ТП 
3. Дистрибутив и документация
4. Формуляр
5. Копия сертификата соответствия  
6. Ведомость эксплуатационных документов</t>
  </si>
  <si>
    <t>Средство анализа защищенности «Сканер-ВС». НПЕШ.00606-01. Лицензия на 1 IP-адрес на 1 год. Электронная поставка (рег. № 231)</t>
  </si>
  <si>
    <t>Средство анализа защищенности «Сканер-ВС». НПЕШ.00606-01. Лицензия на 4 IP адреса на 1 год. Электронная поставка (рег. № 231)</t>
  </si>
  <si>
    <t>Средство  анализа защищенности «Сканер-ВС». НПЕШ.00606-01. Лицензия на 8 IP адресов на 1 год. Электронная поставка (рег. № 231)</t>
  </si>
  <si>
    <t>Средство  анализа защищенности «Сканер-ВС». НПЕШ.00606-01. Лицензия на 16 IP адресов на 1 год. Электронная поставка (рег. № 231)</t>
  </si>
  <si>
    <t>Средство анализа защищенности «Сканер-ВС». НПЕШ.00606-01. Лицензия на 32 IP адреса на 1 год. Электронная поставка (рег. № 231)</t>
  </si>
  <si>
    <t>Средство  анализа защищенности «Сканер-ВС». НПЕШ.00606-01. Лицензия на 64 IP адреса на 1 год. Электронная поставка (рег. № 231)</t>
  </si>
  <si>
    <t>Средство  анализа защищенности «Сканер-ВС». НПЕШ.00606-01. Лицензия на 128 IP адресов на 1 год. Электронная поставка (рег. № 231)</t>
  </si>
  <si>
    <t>Средство  анализа защищенности «Сканер-ВС». НПЕШ.00606-01. Лицензия на 256 IP адресов на 1 год. Электронная поставка (рег. № 231)</t>
  </si>
  <si>
    <t>Средство  анализа защищенности «Сканер-ВС». НПЕШ.00606-01. Лицензия на 512 IP адресов на 1 год. Электронная поставка (рег. № 231)</t>
  </si>
  <si>
    <t>Средство  анализа защищенности «Сканер-ВС». НПЕШ.00606-01. Лицензия на 1024 IP адреса на 1 год. Электронная поставка (рег. № 231)</t>
  </si>
  <si>
    <t>Средство  анализа защищенности «Сканер-ВС». НПЕШ.00606-01. Лицензия на 2048 IP-адресов на 1 год. Электронная поставка (рег. № 231)</t>
  </si>
  <si>
    <t>Средство  анализа защищенности «Сканер-ВС». НПЕШ.00606-01. Лицензия на 4096 IP-адресов на 1 год. Электронная поставка (рег. № 231)</t>
  </si>
  <si>
    <t>Средство  анализа защищенности «Сканер-ВС». НПЕШ.00606-01. Лицензия на 8192 IP адреса на 1 год. Электронная поставка (рег. № 231)</t>
  </si>
  <si>
    <t xml:space="preserve"> Средство  анализа защищенности «Сканер-ВС». НПЕШ.00606-01. Лицензия без ограничения IP адресов на 1 год. Электронная поставка (рег. № 231)</t>
  </si>
  <si>
    <t>Средство анализа защищенности «Сканер-ВС». НПЕШ.00606-01. Обновление до 7-й версии. Лицензия на 4 IP адреса. Электронная поставка (рег. № 231)</t>
  </si>
  <si>
    <t>Средство  анализа защищенности «Сканер-ВС». НПЕШ.00606-01. Обновление до 7-й версии. Лицензия на 8 IP адресов. Электронная поставка (рег. № 231)</t>
  </si>
  <si>
    <t>Средство  анализа защищенности «Сканер-ВС». НПЕШ.00606-01. Обновление до 7-й версии. Лицензия на 16 IP адресов. Электронная поставка  (рег. № 231)</t>
  </si>
  <si>
    <t>Средство анализа защищенности «Сканер-ВС». НПЕШ.00606-01. Обновление до 7-й версии. Лицензия на 32 IP адреса. Электронная поставка (рег. № 231)</t>
  </si>
  <si>
    <t>Средство  анализа защищенности «Сканер-ВС». НПЕШ.00606-01. Обновление до 7-й версии. Лицензия на 64 IP адреса. Электронная поставка (рег. № 231)</t>
  </si>
  <si>
    <t>Средство  анализа защищенности «Сканер-ВС». НПЕШ.00606-01. Обновление до 7-й версии. Лицензия на 128 IP адресов. Электронная поставка (рег. № 231)</t>
  </si>
  <si>
    <t>Средство  анализа защищенности «Сканер-ВС». НПЕШ.00606-01. Обновление до 7-й версии. Лицензия на 256 IP адресов. Электронная поставка (рег. № 231)</t>
  </si>
  <si>
    <t>Средство  анализа защищенности «Сканер-ВС». НПЕШ.00606-01. Обновление до 7-й версии. Лицензия на 512 IP адресов. Электронная поставка (рег. № 231)</t>
  </si>
  <si>
    <t>Средство  анализа защищенности «Сканер-ВС». НПЕШ.00606-01. Обновление до 7-й версии. Лицензия на 1024 IP адреса. Электронная поставка (рег. № 231)</t>
  </si>
  <si>
    <t xml:space="preserve"> Средство  анализа защищенности «Сканер-ВС». НПЕШ.00606-01. Обновление до 7-й версии. Лицензия без ограничения IP адресов. Электронная поставка 
(рег. № 231)</t>
  </si>
  <si>
    <t>Средство анализа защищенности «Сканер-ВС». НПЕШ.00606-01. Обновление до 7-й версии. Лицензия на 4 IP адреса. Электронная поставка (рег. № 231)</t>
  </si>
  <si>
    <t>Средство  анализа защищенности «Сканер-ВС». НПЕШ.00606-01. Обновление до 7-й версии. Лицензия на 8 IP адресов. Электронная поставка (рег. № 231)</t>
  </si>
  <si>
    <t>Средство  анализа защищенности «Сканер-ВС». НПЕШ.00606-01. Обновление до 7-й версии. Лицензия на 16 IP адресов. Электронная поставка (рег. № 231)</t>
  </si>
  <si>
    <t>Средство анализа защищенности «Сканер-ВС». НПЕШ.00606-01. Обновление до 7-й версии. Лицензия на 32 IP адреса. Электронная поставка (рег. № 231)</t>
  </si>
  <si>
    <t>Средство  анализа защищенности «Сканер-ВС». НПЕШ.00606-01. Обновление до 7-й версии. Лицензия на 64 IP адреса. Электронная поставка (рег. № 231)</t>
  </si>
  <si>
    <t>Средство  анализа защищенности «Сканер-ВС». НПЕШ.00606-01. Обновление до 7-й версии. Лицензия на 128 IP адресов. Электронная поставка (рег. № 231)</t>
  </si>
  <si>
    <t>Средство  анализа защищенности «Сканер-ВС». НПЕШ.00606-01. Обновление до 7-й версии. Лицензия на 256 IP адресов. Электронная поставка (рег. № 231)</t>
  </si>
  <si>
    <t>Средство  анализа защищенности «Сканер-ВС». НПЕШ.00606-01. Обновление до 7-й версии. Лицензия на 512 IP адресов. Электронная поставка (рег. № 231)</t>
  </si>
  <si>
    <t>Средство  анализа защищенности «Сканер-ВС». НПЕШ.00606-01. Обновление до 7-й версии. Лицензия на 1024 IP адреса. Электронная поставка (рег. № 231)</t>
  </si>
  <si>
    <t>Средство  анализа защищенности «Сканер-ВС». НПЕШ.00606-01. Обновление до 7-й версии. Лицензия на 2048 IP-адресов. Электронная поставка (рег. № 231)</t>
  </si>
  <si>
    <t>Средство  анализа защищенности «Сканер-ВС». НПЕШ.00606-01. Обновление до 7-й версии. Лицензия на 4096 IP-адресов. Электронная поставка (рег. № 231)</t>
  </si>
  <si>
    <t>Средство  анализа защищенности «Сканер-ВС». НПЕШ.00606-01. Обновление до 7-й версии. Лицензия на 8192 IP адреса. Электронная поставка (рег. № 231)</t>
  </si>
  <si>
    <t xml:space="preserve"> Средство  анализа защищенности «Сканер-ВС». НПЕШ.00606-01. Обновление до 7-й версии. Лицензия без ограничения IP адресов. Электронная поставка (рег. № 231)</t>
  </si>
  <si>
    <t xml:space="preserve">Средство  анализа защищенности «Сканер-ВС». Дополнительный IP к лицензии на 1 год. Электронная поставка (1-50) </t>
  </si>
  <si>
    <t>Средство  анализа защищенности «Сканер-ВС». Дополнительный IP к лицензии на 1 год. Электронная поставка (51-100)</t>
  </si>
  <si>
    <t>Средство  анализа защищенности «Сканер-ВС». Дополнительный IP к лицензии на 1 год. Электронная поставка (101-200)</t>
  </si>
  <si>
    <t>Средство  анализа защищенности «Сканер-ВС». Дополнительный IP к лицензии на 1 год. Электронная поставка (201-500)</t>
  </si>
  <si>
    <t>Средство анализа защищенности «Сканер-ВС». НПЕШ.00606-01. Продление лицензии на 4 IP адреса на 1 год. Электронная поставка (рег. № 231)</t>
  </si>
  <si>
    <t>Средство анализа защищенности «Сканер-ВС». НПЕШ.00606-01. Продление лицензии на 8 IP-адресов на 1 год. Электронная поставка (рег. № 231)</t>
  </si>
  <si>
    <t>Средство анализа защищенности «Сканер-ВС». НПЕШ.00606-01. Продление лицензии на 16 IP адресов на 1 год. Электронная поставка (рег. № 231)</t>
  </si>
  <si>
    <t>Средство анализа защищенности «Сканер-ВС». НПЕШ.00606-01. Продление лицензии на 32 IP адреса на 1 год. Электронная поставка (рег. № 231)</t>
  </si>
  <si>
    <t>Средство анализа защищенности «Сканер-ВС». НПЕШ.00606-01. Продление лицензии на 64 IP адреса на 1 год. Электронная поставка (рег. № 231)</t>
  </si>
  <si>
    <t>Средство анализа защищенности «Сканер-ВС». НПЕШ.00606-01. Продление лицензии на 128 IP адресов на 1 год. Электронная поставка (рег. № 231)</t>
  </si>
  <si>
    <t>Средство анализа защищенности «Сканер-ВС». НПЕШ.00606-01. Продление лицензии на 256 IP адресов на 1 год. Электронная поставка (рег. № 231)</t>
  </si>
  <si>
    <t>Средство анализа защищенности «Сканер-ВС». НПЕШ.00606-01. Продление лицензии на 512 IP адресов на 1 год. Электронная поставка (рег. № 231)</t>
  </si>
  <si>
    <t>Средство анализа защищенности «Сканер-ВС». НПЕШ.00606-01. Продление лицензии на 1024 IP адреса на 1 год. Электронная поставка (рег. № 231)</t>
  </si>
  <si>
    <t>Средство анализа защищенности «Сканер-ВС». НПЕШ.00606-01. Продление лицензии на 2048 IP-адресов на 1 год. Электронная поставка (рег. № 231)</t>
  </si>
  <si>
    <t>Средство анализа защищенности «Сканер-ВС». НПЕШ.00606-01. Продление лицензии на 4096 IP-адресов на 1 год. Электронная поставка (рег. № 231)</t>
  </si>
  <si>
    <t>Средство анализа защищенности «Сканер-ВС». НПЕШ.00606-01. Продление лицензии на 8192 IP адреса на 1 год. Электронная поставка (рег. № 231)</t>
  </si>
  <si>
    <t>Средство анализа защищенности «Сканер-ВС». НПЕШ.00606-01. Продление лицензии без ограничения IP адресов на 1 год. Электронная поставка (рег. № 231)</t>
  </si>
  <si>
    <t>Средство  анализа защищенности «Сканер-ВС». Дополнительный IP к продлению лицензии на 1 год. Электронная поставка (1-50)</t>
  </si>
  <si>
    <t>Средство  анализа защищенности «Сканер-ВС». Дополнительный IP к продлению лицензии на 1 год. Электронная поставка (51-100)</t>
  </si>
  <si>
    <t>Средство  анализа защищенности «Сканер-ВС». Дополнительный IP к продлению лицензии на 1 год. Электронная поставка (101-200)</t>
  </si>
  <si>
    <t>Средство  анализа защищенности «Сканер-ВС». Дополнительный IP к продлению лицензии на 1 год. Электронная поставка (201-500)</t>
  </si>
  <si>
    <t>Средство анализа защищенности «Сканер-ВС». НПЕШ.00606-01. Лицензия на 4 IP адреса на 1 год при переходе с других средств тестирования. Электронная поставка (рег. № 231)</t>
  </si>
  <si>
    <t>Средство анализа защищенности «Сканер-ВС». НПЕШ.00606-01. Лицензия на 8 IP адресов на 1 год при переходе с других средств тестирования. Электронная поставка (рег. № 231)</t>
  </si>
  <si>
    <t>Средство анализа защищенности «Сканер-ВС». НПЕШ.00606-01. Лицензия на 16 IP адресов на 1 год при переходе с других средств тестирования. Электронная поставка (рег. № 231)</t>
  </si>
  <si>
    <t>Средство анализа защищенности «Сканер-ВС». НПЕШ.00606-01. Лицензия на 32 IP адреса на 1 год при переходе с других средств тестирования. Электронная поставка (рег. № 231)</t>
  </si>
  <si>
    <t>Средство анализа защищенности «Сканер-ВС». НПЕШ.00606-01. Лицензия на 64 IP адреса на 1 год при переходе с других средств тестирования. Электронная поставка (рег. № 231)</t>
  </si>
  <si>
    <t>Средство анализа защищенности «Сканер-ВС». НПЕШ.00606-01. Лицензия на 128 IP адресов на 1 год при переходе с других средств тестирования. Электронная поставка (рег. № 231)</t>
  </si>
  <si>
    <t>Средство анализа защищенности «Сканер-ВС». НПЕШ.00606-01. Лицензия на 256 IP адресов на 1 год при переходе с других средств тестирования. Электронная поставка (рег. № 231)</t>
  </si>
  <si>
    <t>Средство анализа защищенности «Сканер-ВС». НПЕШ.00606-01. Лицензия на 512 IP адресов на 1 год при переходе с других средств тестирования. Электронная поставка (рег. № 231)</t>
  </si>
  <si>
    <t>Средство анализа защищенности «Сканер-ВС». НПЕШ.00606-01. Лицензия на 1024 IP адреса на 1 год при переходе с других средств тестирования. Электронная поставка (рег. № 231)</t>
  </si>
  <si>
    <t>Средство  анализа защищенности «Сканер-ВС». НПЕШ.00606-01. Лицензия на 2048 IP-адресов на 1 год. Электронная поставка (рег. № 231)</t>
  </si>
  <si>
    <t>Средство  анализа защищенности «Сканер-ВС». НПЕШ.00606-01. Лицензия на 4096 IP-адресов на 1 год. Электронная поставка (рег. № 231)</t>
  </si>
  <si>
    <t>Средство  анализа защищенности «Сканер-ВС». НПЕШ.00606-01. Лицензия на 8192 IP адреса на 1 год. Электронная поставка (рег. № 231)</t>
  </si>
  <si>
    <t xml:space="preserve"> Средство  анализа защищенности «Сканер-ВС». НПЕШ.00606-01. Лицензия без ограничения IP адресов на 1 год. Электронная поставка (рег. № 231)</t>
  </si>
  <si>
    <t>Программное обеспечение "Сканер-ВС". Лицензия Enterprise на 8 активов на 1 год. Электронная поставка (рег. № 231)</t>
  </si>
  <si>
    <t>Программное обеспечение "Сканер-ВС". Лицензия Enterprise на 16 активов на 1 год. Электронная поставка (рег. № 231)</t>
  </si>
  <si>
    <t>Программное обеспечение "Сканер-ВС". Лицензия Enterprise на 32 активов на 1 год. Электронная поставка (рег. № 231)</t>
  </si>
  <si>
    <t>Программное обеспечение "Сканер-ВС". Лицензия Enterprise на 64 активов на 1 год. Электронная поставка (рег. № 231)</t>
  </si>
  <si>
    <t>Программное обеспечение "Сканер-ВС". Лицензия Enterprise на 128 активов на 1 год. Электронная поставка (рег. № 231)</t>
  </si>
  <si>
    <t>Программное обеспечение "Сканер-ВС". Лицензия Enterprise на 256 активов на 1 год. Электронная поставка (рег. № 231)</t>
  </si>
  <si>
    <t>Программное обеспечение "Сканер-ВС". Лицензия Enterprise на 512 активов на 1 год. Электронная поставка (рег. № 231)</t>
  </si>
  <si>
    <t>Программное обеспечение "Сканер-ВС". Лицензия Enterprise на 1024 активов на 1 год. Электронная поставка (рег. № 231)</t>
  </si>
  <si>
    <t>Программное обеспечение "Сканер-ВС". Лицензия Enterprise на 2048 активов на 1 год. Электронная поставка (рег. № 231)</t>
  </si>
  <si>
    <t>Программное обеспечение "Сканер-ВС". Лицензия Enterprise на 4096 активов на 1 год. Электронная поставка (рег. № 231)</t>
  </si>
  <si>
    <t>Программное обеспечение "Сканер-ВС". Лицензия Enterprise на 8192 активов на 1 год. Электронная поставка (рег. № 231)</t>
  </si>
  <si>
    <t>Программное обеспечение "Сканер-ВС". Лицензия Enterprise без ограничений активов на 1 год. Электронная поставка (рег. № 231)</t>
  </si>
  <si>
    <t>Средство анализа защищенности «Сканер-ВС». НПЕШ.00606-01. Переход с 7-й версии Base на Enterprise. Лицензия на 8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</si>
  <si>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16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</si>
  <si>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32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</si>
  <si>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64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</si>
  <si>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128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</si>
  <si>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256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</si>
  <si>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512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</si>
  <si>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1024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</si>
  <si>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2048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</si>
  <si>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4096 активов. Электронная поставка (рег. № 231)</t>
  </si>
  <si>
    <t>Средство анализа защищенности «Сканер-ВС». НПЕШ.00606-01. Переход с 7-й версии Base на Enterprise. Лицензия на 8192 активов. Электронная поставка (рег. № 231)</t>
  </si>
  <si>
    <t>Средство анализа защищенности «Сканер-ВС». НПЕШ.00606-01. Переход с 7-й версии Base на Enterprise. Лицензия без ограничения по количеству активов. Электронная поставка (рег. № 231)</t>
  </si>
  <si>
    <t>Программное обеспечение 
"Сканер-ВС Enterprise". Дополнительные активы к лицензии на 1 год. Электронная поставка (1-50)</t>
  </si>
  <si>
    <t>Программное обеспечение 
"Сканер-ВС Enterprise". Дополнительные активы к лицензии на 1 год. Электронная поставка (51-100)</t>
  </si>
  <si>
    <t>Программное обеспечение 
"Сканер-ВС Enterprise". Дополнительные активы к лицензии на 1 год. Электронная поставка (101-200)</t>
  </si>
  <si>
    <t>Программное обеспечение 
"Сканер-ВС Enterprise". Дополнительные активы к лицензии на 1 год. Электронная поставка (201-500)</t>
  </si>
  <si>
    <t>Программное средство "Сканер-ВС". Продление лицензии Enterprise на 8 активов на 1 год. Электронная поставка (рег. № 231)</t>
  </si>
  <si>
    <t>Программное средство "Сканер-ВС". Продление лицензии Enterprise на 16 активов на 1 год. Электронная поставка (рег. № 231)</t>
  </si>
  <si>
    <t>Программное средство "Сканер-ВС". Продление лицензии Enterprise на 32 активов на 1 год. Электронная поставка (рег. № 231)</t>
  </si>
  <si>
    <t>Программное средство "Сканер-ВС". Продление лицензии Enterprise на 64 активов на 1 год. Электронная поставка (рег. № 231)</t>
  </si>
  <si>
    <t>Программное средство "Сканер-ВС". Продление лицензии Enterprise на 128 активов на 1 год. Электронная поставка (рег. № 231)</t>
  </si>
  <si>
    <t>Программное средство "Сканер-ВС". Продление лицензии Enterprise на 256 активов на 1 год. Электронная поставка (рег. № 231)</t>
  </si>
  <si>
    <t>Программное средство "Сканер-ВС". Продление лицензии Enterprise на 512 активов на 1 год. Электронная поставка (рег. № 231)</t>
  </si>
  <si>
    <t>Программное средство "Сканер-ВС". Продление лицензии Enterprise на 1024 активов на 1 год. Электронная поставка (рег. № 231)</t>
  </si>
  <si>
    <t>Программное средство "Сканер-ВС". Продление лицензии Enterprise на 2048 активов на 1 год. Электронная поставка (рег. № 231)</t>
  </si>
  <si>
    <t>Программное средство "Сканер-ВС". Продление лицензии Enterprise на 4096 активов на 1 год. Электронная поставка (рег. № 231)</t>
  </si>
  <si>
    <t>Программное средство "Сканер-ВС". Продление лицензии Enterprise на 8192 активов на 1 год. Электронная поставка (рег. № 231)</t>
  </si>
  <si>
    <t>Программное средство "Сканер-ВС". Продление лицензии Enterprise без ограничения по количеству активов на 1 год. Электронная поставка (рег. № 231)</t>
  </si>
  <si>
    <t>Программное обеспечение "Сканер-ВС Enterprise". Дополнительные активы к продлению лицензии на 1 год. Электронная поставка (1-50)</t>
  </si>
  <si>
    <t>Программное обеспечение "Сканер-ВС Enterprise". Дополнительные активы к продлению лицензии на 1 год. Электронная поставка (51-100)</t>
  </si>
  <si>
    <t>Программное обеспечение "Сканер-ВС Enterprise". Дополнительные активы к продлению лицензии на 1 год. Электронная поставка (101-200)</t>
  </si>
  <si>
    <t>Программное обеспечение "Сканер-ВС Enterprise". Дополнительные активы к продлению лицензии на 1 год. Электронная поставка (201-500)</t>
  </si>
  <si>
    <t>Средство анализа защищенности «Сканер-ВС». Лицензия включает компонент «Инспектор», на 8 IP адресов на 1 год. Электронная поставка (рег. № 231)</t>
  </si>
  <si>
    <t>Средство анализа защищенности «Сканер-ВС». Лицензия включает компонент «Инспектор»,  на 16 IP адресов на 1 год. Электронная поставка (рег. № 231)</t>
  </si>
  <si>
    <t>Средство анализа защищенности «Сканер-ВС». Лицензия включает компонент «Инспектор», на 32 IP адреса на 1 год. Электронная поставка (рег. № 231)</t>
  </si>
  <si>
    <t>Средство анализа защищенности «Сканер-ВС». Лицензия включает компонент «Инспектор»,  на 64 IP адреса на 1 год. Электронная поставка (рег. № 231)</t>
  </si>
  <si>
    <t>Средство анализа защищенности «Сканер-ВС». Лицензия включает компонент «Инспектор»,  на 128 IP адресов на 1 год. Электронная поставка (рег. № 231)</t>
  </si>
  <si>
    <t>Средство анализа защищенности «Сканер-ВС». Лицензия включает компонент «Инспектор»,  на 256 IP адресов на 1 год. Электронная поставка (рег. № 231)</t>
  </si>
  <si>
    <t>Средство анализа защищенности «Сканер-ВС». Лицензия включает компонент «Инспектор»,  на 512 IP адресов на 1 год. Электронная поставка (рег. № 231)</t>
  </si>
  <si>
    <t>Средство анализа защищенности «Сканер-ВС». Лицензия включает компонент «Инспектор»,  на 1024 IP адреса на 1 год. Электронная поставка (рег. № 231)</t>
  </si>
  <si>
    <t>Средство анализа защищенности «Сканер-ВС». Лицензия включает компонент «Инспектор». НПЕШ.00606-01. Лицензия на 2048 IP-адресов на 1 год. Электронная поставка (рег. № 231)</t>
  </si>
  <si>
    <t>Средство анализа защищенности «Сканер-ВС». Лицензия включает компонент «Инспектор». НПЕШ.00606-01. Лицензия на 4096 IP-адресов на 1 год. Электронная поставка (рег. № 231)</t>
  </si>
  <si>
    <t>Средство анализа защищенности «Сканер-ВС». Лицензия включает компонент «Инспектор». НПЕШ.00606-01. Лицензия на 8192 IP адреса на 1 год. Электронная поставка (рег. № 231)</t>
  </si>
  <si>
    <t xml:space="preserve"> Средство анализа защищенности «Сканер-ВС». Лицензия включает компонент «Инспектор». НПЕШ.00606-01. Лицензия без ограничения IP адресов на 1 год.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</si>
  <si>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на 8 IP адресов.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</si>
  <si>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16 IP адресов. Электронная поставка (рег. № 231)</t>
  </si>
  <si>
    <t>Средство анализа защищенности «Сканер-ВС».  Обновление до 7-й версии. Лицензия включает компонент «Инспектор», на 32 IP адреса.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</si>
  <si>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64 IP адреса.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</si>
  <si>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128 IP адресов.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</si>
  <si>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256 IP адресов.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</si>
  <si>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512 IP адресов.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</si>
  <si>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1024 IP адреса. Электронная поставка (рег. № 231)</t>
  </si>
  <si>
    <t xml:space="preserve"> Средство анализа защищенности «Сканер-ВС». Обновление до 7-й версии. Лицензия включает компонент «Инспектор». НПЕШ.00606-01. Лицензия без ограничения IP адресов.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</si>
  <si>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на 8 IP адресов.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</si>
  <si>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16 IP адресов. Электронная поставка (рег. № 231)</t>
  </si>
  <si>
    <t>Средство анализа защищенности «Сканер-ВС».  Обновление до 7-й версии. Лицензия включает компонент «Инспектор», на 32 IP адреса.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</si>
  <si>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64 IP адреса.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</si>
  <si>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128 IP адресов.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</si>
  <si>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256 IP адресов.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</si>
  <si>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512 IP адресов.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</si>
  <si>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1024 IP адреса. Электронная поставка (рег. № 231)</t>
  </si>
  <si>
    <t xml:space="preserve"> Средство анализа защищенности «Сканер-ВС». Обновление до 7-й версии. Лицензия включает компонент «Инспектор». НПЕШ.00606-01. Лицензия без ограничения IP адресов. Электронная поставка (рег. № 231)</t>
  </si>
  <si>
    <t>Средство анализа защищенности «Сканер-ВС». Лицензия включает компонент «Инспектор». Дополнительный IP к лицензии на 1 год. Электронная поставка (1-50)</t>
  </si>
  <si>
    <t>Средство анализа защищенности «Сканер-ВС». Лицензия включает компонент «Инспектор». Дополнительный IP к лицензии на 1 год. Электронная поставка (51-100)</t>
  </si>
  <si>
    <t>Средство анализа защищенности «Сканер-ВС». Лицензия включает компонент «Инспектор». Дополнительный IP к лицензии на 1 год. Электронная поставка (101-200)</t>
  </si>
  <si>
    <t>Средство анализа защищенности «Сканер-ВС». Лицензия включает компонент «Инспектор». Дополнительный IP к лицензии на 1 год. Электронная поставка (201-500)</t>
  </si>
  <si>
    <r>
      <t>Средство анализа защищенности «Сканер-ВС». Лицензия включает компонент «Инспектор». НПЕШ.00606-01. Продление лицензии на</t>
    </r>
    <r>
      <rPr>
        <sz val="9"/>
        <rFont val="Microsoft Tai Le"/>
        <family val="2"/>
      </rPr>
      <t xml:space="preserve"> 8 IP адресов на 1 год. Электронная поставка (рег. № 231)</t>
    </r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</si>
  <si>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16 IP адресов на 1 год. Электронная поставка (рег. № 231)</t>
    </r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</si>
  <si>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32 IP адреса на 1 год. Электронная поставка (рег. № 231)</t>
    </r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</si>
  <si>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64 IP адреса на 1 год. Электронная поставка (рег. № 231)</t>
    </r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</si>
  <si>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128 IP адресов на 1 год. Электронная поставка (рег. № 231)</t>
    </r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</si>
  <si>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256 IP адресов на 1 год. Электронная поставка (рег. № 231)</t>
    </r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</si>
  <si>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512 IP адресов на 1 год. Электронная поставка (рег. № 231)</t>
    </r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</si>
  <si>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1024 IP адреса на 1 год. Электронная поставка (рег. № 231)</t>
    </r>
  </si>
  <si>
    <t>Средство анализа защищенности «Сканер-ВС». Лицензия включает компонент «Инспектор». НПЕШ.00606-01. Продление лицензии на 2048 IP-адресов на 1 год. Электронная поставка (рег. № 231)</t>
  </si>
  <si>
    <t>Средство анализа защищенности «Сканер-ВС». Лицензия включает компонент «Инспектор». НПЕШ.00606-01. Продление лицензии на 4096 IP-адресов на 1 год. Электронная поставка (рег. № 231)</t>
  </si>
  <si>
    <r>
      <t>Средство анализа защищенности «Сканер-ВС». Лицензия включает компонент «Инспектор». НПЕШ.00606-01. Продление лицензии на</t>
    </r>
    <r>
      <rPr>
        <sz val="9"/>
        <rFont val="Microsoft Tai Le"/>
        <family val="2"/>
      </rPr>
      <t xml:space="preserve"> 8192 IP адреса на 1 год. Электронная поставка (рег. № 231</t>
    </r>
  </si>
  <si>
    <r>
      <t xml:space="preserve">Средство анализа защищенности «Сканер-ВС». Лицензия включает компонент «Инспектор». НПЕШ.00606-01. Продление лицензии на </t>
    </r>
    <r>
      <rPr>
        <sz val="9"/>
        <rFont val="Microsoft Tai Le"/>
        <family val="2"/>
      </rPr>
      <t>безлимитное количество IP адресов на 1 год. Электронная поставка (рег. № 231</t>
    </r>
  </si>
  <si>
    <t>Средство анализа защищенности «Сканер-ВС». Лицензия включает компонент «Инспектор». Дополнительный IP к продлению лицензии на 1 год. Электронная поставка (1-50)</t>
  </si>
  <si>
    <t>Средство анализа защищенности «Сканер-ВС». Лицензия включает компонент «Инспектор». Дополнительный IP к продлению лицензии на 1 год. Электронная поставка (51-100)</t>
  </si>
  <si>
    <t>Средство анализа защищенности «Сканер-ВС». Лицензия включает компонент «Инспектор». Дополнительный IP к продлению лицензии на 1 год. Электронная поставка (101-200)</t>
  </si>
  <si>
    <t>Средство анализа защищенности «Сканер-ВС». Лицензия включает компонент «Инспектор». Дополнительный IP к продлению лицензии на 1 год. Электронная поставка (201-500)</t>
  </si>
  <si>
    <t>Программное обеспечение "Сканер-ВС". Лицензия Enterprise включает компонент «Инспектор» на 8 активов на 1 год. Электронная поставка (рег. № 231)</t>
  </si>
  <si>
    <t>Программное обеспечение "Сканер-ВС". Лицензия Enterprise включает компонент «Инспектор» на 16 активов на 1 год. Электронная поставка (рег. № 231)</t>
  </si>
  <si>
    <t>Программное обеспечение "Сканер-ВС". Лицензия Enterprise включает компонент «Инспектор» на 32 активов на 1 год. Электронная поставка (рег. № 231)</t>
  </si>
  <si>
    <t>Программное обеспечение "Сканер-ВС". Лицензия Enterprise включает компонент «Инспектор» на 64 активов на 1 год. Электронная поставка (рег. № 231)</t>
  </si>
  <si>
    <t>Программное обеспечение "Сканер-ВС". Лицензия Enterprise включает компонент «Инспектор» на 128 активов на 1 год. Электронная поставка (рег. № 231)</t>
  </si>
  <si>
    <t>Программное обеспечение "Сканер-ВС". Лицензия Enterprise включает компонент «Инспектор» на 256 активов на 1 год. Электронная поставка (рег. № 231)</t>
  </si>
  <si>
    <t>Программное обеспечение "Сканер-ВС". Лицензия Enterprise включает компонент «Инспектор» на 512 активов на 1 год. Электронная поставка (рег. № 231)</t>
  </si>
  <si>
    <t>Программное обеспечение "Сканер-ВС". Лицензия Enterprise включает компонент «Инспектор» на 1024 активов на 1 год. Электронная поставка (рег. № 231)</t>
  </si>
  <si>
    <t>Программное обеспечение "Сканер-ВС". Лицензия Enterprise включает компонент «Инспектор» на 2048 активов на 1 год. Электронная поставка (рег. № 231)</t>
  </si>
  <si>
    <t>Программное обеспечение "Сканер-ВС". Лицензия Enterprise включает компонент «Инспектор» на 4096 активов на 1 год. Электронная поставка (рег. № 231)</t>
  </si>
  <si>
    <t>Программное обеспечение "Сканер-ВС". Лицензия Enterprise включает компонент «Инспектор» на 8192 активов на 1 год. Электронная поставка (рег. № 231)</t>
  </si>
  <si>
    <t>Программное обеспечение "Сканер-ВС". Лицензия Enterprise включает компонент «Инспектор» без ограничений по количеству активов на 1 год.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</si>
  <si>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8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</si>
  <si>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16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</si>
  <si>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32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</si>
  <si>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64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</si>
  <si>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128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</si>
  <si>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256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</si>
  <si>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512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</si>
  <si>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2048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</si>
  <si>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4096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</si>
  <si>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8192 активов. Электронная поставка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</si>
  <si>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без ограничений по количеству активов. Электронная поставка (рег. № 231)</t>
  </si>
  <si>
    <t>Программное обеспечение "Сканер-ВС". Лицензия Enterprise включает компонент «Инспектор». Дополнительные активы к лицензии на 1 год. Электронная поставка (1-50)</t>
  </si>
  <si>
    <t>Программное обеспечение "Сканер-ВС". Лицензия Enterprise включает компонент «Инспектор». Дополнительные активы к лицензии на 1 год. Электронная поставка (51-100)</t>
  </si>
  <si>
    <t>Программное средство "Сканер-ВС". Лицензия включает компонент «Инспектор». НПЕШ.00606-01. Продление лицензии Enterprise на 8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</si>
  <si>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16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</si>
  <si>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32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</si>
  <si>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64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</si>
  <si>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128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</si>
  <si>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256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</si>
  <si>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512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</si>
  <si>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1024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</si>
  <si>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2048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</si>
  <si>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4096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</si>
  <si>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на 8192 активов на 1 год. Электронная поставка (рег. № 231)</t>
  </si>
  <si>
    <t>Программное средство "Сканер-ВС". Лицензия включает компонент «Инспектор». НПЕШ.00606-01. Продление лицензии Enterprise без ограничений по количеству активов на 1 год. Электронная поставка (рег. № 231)</t>
  </si>
  <si>
    <t>Программное обеспечение "Сканер-ВС". Лицензия Enterprise включает компонент «Инспектор». Дополнительные активы к лицензии на 1 год. Электронная поставка (1-50)</t>
  </si>
  <si>
    <t>Программное обеспечение "Сканер-ВС". Лицензия Enterprise включает компонент «Инспектор». Дополнительные активы к лицензии на 1 год. Электронная поставка (51-100)</t>
  </si>
  <si>
    <t>Программное обеспечение "Сканер-ВС". Лицензия Enterprise включает компонент «Инспектор». Дополнительные активы к лицензии на 1 год. Электронная поставка (101-200)</t>
  </si>
  <si>
    <t>Программное обеспечение "Сканер-ВС". Лицензия Enterprise включает компонент «Инспектор». Дополнительные активы к лицензии на 1 год. Электронная поставка (201-500)</t>
  </si>
  <si>
    <t>Анализатор исходных текстов программ «АК-ВС 3». Лицензия на 1 проект сроком на 1 год. Электронная поставка (рег. № 14300)</t>
  </si>
  <si>
    <t>Анализатор исходных текстов программ «АК-ВС 3». Лицензия на 5 одновременно выполняемых проектов сроком на 1 год. Электронная поставка (рег. № 14300)</t>
  </si>
  <si>
    <t>Анализатор исходных текстов программ «АК-ВС 3». Лицензия на неограниченное количество одновременно выполняемых проектов сроком на 1 год. Электронная поставка (рег. № 14300)</t>
  </si>
  <si>
    <t>Анализатор исходных текстов программ «АК-ВС 3». Лицензия на неограниченное количество доступных проектов бессрочно. Электронная поставка (рег. № 14300)</t>
  </si>
  <si>
    <t>Анализатор исходных текстов программ «АК-ВС 3». Лицензия на одновременное использование 1 дополнительного проекта "АК-ВС 3". Электронная поставка (рег. № 14300)</t>
  </si>
  <si>
    <t>Анализатор исходных текстов программ «АК-ВС 3». Лицензия на 1 проект сроком на 6 месяцев. Электронная поставка (рег. № 14300)</t>
  </si>
  <si>
    <t>Анализатор исходных текстов программ «АК-ВС 3». Продление лицензии на 1 год. Электронная поставка (рег. № 14300)</t>
  </si>
  <si>
    <t>Анализатор исходных текстов программ «АК-ВС 3». Продление лицензии на 5 проектов на 1 год. Электронная поставка (рег. № 14300)</t>
  </si>
  <si>
    <t>Анализатор исходных текстов программ «АК-ВС 3». Продление лицензии на неограниченное количество проектов на 1 год. Электронная поставка (рег. № 14300)</t>
  </si>
  <si>
    <t>Анализатор исходных текстов программ «АК-ВС 3». Продление лицензии права использования 1 дополнительного проекта  на 1 год. Электронная поставка (рег. № 14300)</t>
  </si>
  <si>
    <t>Анализатор исходных текстов программ «АК-ВС 3». Лицензия на 1 язык из дополнительного перечня. Электронная поставка (рег. № 14300)</t>
  </si>
  <si>
    <t>Анализатор исходных текстов программ «АК-ВС 3». Лицензия на 1 язык, не входящий в основной или дополнительный перечень. Электронная поставка (рег. № 14300)</t>
  </si>
  <si>
    <t>Средство анализа защищенности «Сканер-ВС». Обновление до 7-й версии. Лицензия включает компонент «Инспектор»,  на 2048 IP адреса (рег. № 231)</t>
  </si>
  <si>
    <t>Средство анализа защищенности «Сканер-ВС». Обновление до 7-й версии. Лицензия включает компонент «Инспектор»,  на 4096 IP адреса (рег. № 231)</t>
  </si>
  <si>
    <t>Средство анализа защищенности «Сканер-ВС». Обновление до 7-й версии. Лицензия включает компонент «Инспектор»,  на 8192 IP адреса (рег. № 231)</t>
  </si>
  <si>
    <t>Средство анализа защищенности «Сканер-ВС». Обновление до 7-й версии. Лицензия включает компонент «Инспектор»,  на 2048 IP адреса.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</si>
  <si>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4096 IP адреса. Электронная поставка (рег. № 231)</t>
  </si>
  <si>
    <t>Средство анализа защищенности «Сканер-ВС». Обновление до 7-й версии. Лицензия включает компонент «Инспектор»,  на 8192 IP адреса. Электронная поставка (рег. № 231)</t>
  </si>
  <si>
    <r>
      <t>Годовая техническая поддержка 8х5, обращения по E-mail, телефон.</t>
    </r>
    <r>
      <rPr>
        <b/>
        <sz val="9"/>
        <color theme="1"/>
        <rFont val="Microsoft Tai Le"/>
        <family val="2"/>
      </rPr>
      <t xml:space="preserve"> 
Электронная поставка.</t>
    </r>
  </si>
  <si>
    <r>
      <t xml:space="preserve">Переход на 7 версию "Сканер-ВС Инспектор".
*переход возможен не ранее 3-х месяцев после приобретения версии Сканер-ВС 6.0. 
В стоимость не входит стоимость ОС Astra LinuX SE
</t>
    </r>
    <r>
      <rPr>
        <b/>
        <sz val="9"/>
        <color theme="1"/>
        <rFont val="Microsoft Tai Le"/>
        <family val="2"/>
      </rPr>
      <t>Соответствует срокам действующей лицензии</t>
    </r>
  </si>
  <si>
    <t>Лицензия для программного обеспечения анализа безопасности программного кода "АК-ВС 3" на 1 год для 1 проекта; 
1 год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
Лицензия на 1 проект подразумевает, что в списке проектов возможно будет создавать и работать только с 1 проектом. В случае добавления другого проекта, серверная часть выдаст ошибку. Внутри 1 проекта возможно проведение всех видов анализа неограниченное количество раз во время действия лицензии.</t>
  </si>
  <si>
    <t>Лицензия для программного обеспечения анализа безопасности программного кода "АК-ВС 3" на 1 год для 5 проектов; 
1 год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</t>
  </si>
  <si>
    <t xml:space="preserve">Лицензия для программного обеспечения анализа безопасности программного кода "АК-ВС 3" на неограниченное количество доступных проектов сроком на 1 год; 
1 год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</t>
  </si>
  <si>
    <t xml:space="preserve">Лицензия для программного обеспечения анализа безопасности программного кода "АК-ВС 3" на неограниченное количество доступных проектов бессрочно; 
Без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</t>
  </si>
  <si>
    <t xml:space="preserve">Лицензия для программного обеспечения анализа безопасности программного кода "АК-ВС 3" на срок действия лицензии для 1 проекта; 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 </t>
  </si>
  <si>
    <t>AK-VS3-SE-lic-L</t>
  </si>
  <si>
    <t>Анализатор исходных текстов программ «АК-ВС 3». Лицензия на 1 доступный проект сроком на 6 месяцев (рег. № 14300)</t>
  </si>
  <si>
    <t>AK-VS3-SE-lic-O</t>
  </si>
  <si>
    <t>Анализатор исходных текстов программ «АК-ВС 3». Лицензия на 1 доступный проект  сроком на 1 год с поддержкой одного языка на выбор (рег. № 14300)</t>
  </si>
  <si>
    <t xml:space="preserve">Лицензия программного комплекса анализа безопасности программного кода "АК-ВС 3" на 6 месяцев для 1 проекта. Без возможности продления; Без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</t>
  </si>
  <si>
    <t xml:space="preserve">Лицензия программного комплекса анализа безопасности программного кода "АК-ВС 3" на 1 год для 1 проекта;
1 год технической поддержки; 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</t>
  </si>
  <si>
    <r>
      <t xml:space="preserve">Лицензия программного комплекса анализа безопасности программного кода "АК-ВС 3" на 6 месяцев для 1 проекта. </t>
    </r>
    <r>
      <rPr>
        <b/>
        <sz val="9"/>
        <color theme="1"/>
        <rFont val="Microsoft Tai Le"/>
        <family val="2"/>
      </rPr>
      <t>Без возможности продления;</t>
    </r>
    <r>
      <rPr>
        <sz val="9"/>
        <color theme="1"/>
        <rFont val="Microsoft Tai Le"/>
        <family val="2"/>
      </rPr>
      <t xml:space="preserve">
Проведение статического и динамического анализов исходных кодов программ;
Поддержка анализируемых языков: C/C++;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25.12.2020) 
</t>
    </r>
    <r>
      <rPr>
        <b/>
        <sz val="9"/>
        <color theme="1"/>
        <rFont val="Microsoft Tai Le"/>
        <family val="2"/>
      </rPr>
      <t xml:space="preserve">(только под конфу) </t>
    </r>
  </si>
  <si>
    <t>АК-VS3-UPP-Lic-O</t>
  </si>
  <si>
    <t>Анализатор исходных текстов программ «АК-ВС 3». Продление лицензии на 1 год с поддержкой одного языка на выбор (рег. № 14300)</t>
  </si>
  <si>
    <t>Продление ранее приобретенной лицензии ПО "АК-ВС 3" на 1 год с поддержкой одного языка на выбор. 
1 год технической поддержки</t>
  </si>
  <si>
    <t>AK-VS3-lic-TSP-Unl</t>
  </si>
  <si>
    <t>Сертификат технической поддержки для анализатора исходых текстов программ «АК-ВС 3» для бессрочной лицензии на неограниченное количество доступных проектов (AK-VS3-lic-S)</t>
  </si>
  <si>
    <t>AK-VS3-lic-TSP-L</t>
  </si>
  <si>
    <t>Сертификат технической поддержки для анализатора исходых текстов программ «АК-ВС 3» для лицензии на 1 доступный проект сроком на 6 месяцев (AK-VS3-SE-lic-L)</t>
  </si>
  <si>
    <t>Техническая поддержка до окончания действия лицензии 8х5, обращения по E-mail, телефон.</t>
  </si>
  <si>
    <t>Лицензия для программного комплекса анализа безопасности программного кода "АК-ВС 3" на 1 год для 1 проекта;
1 год технической поддержки;
Поддержка анализируемых языков: C/C++, Java, C#, PHP, Python, JavaScript, Go и Perl.
Лицензия на 1 проект подразумевает, что в списке проектов возможно будет создавать и работать только с 1 проектом. В случае добавления другого проекта, серверная часть выдаст ошибку. Внутри 1 проекта возможно проведение всех видов анализа неограниченное количество раз во время действия лицензии.</t>
  </si>
  <si>
    <t>Лицензия для программного комплекса анализа безопасности программного кода "АК-ВС 3" на 1 год для 5 проектов;
1 год технической поддержки;
Поддержка анализируемых языков: C/C++, Java, C#, PHP, Python, JavaScript, Go и Perl.
Лицензия на 1 проект подразумевает, что в списке проектов возможно будет создавать и работать только с 1 проектом. В случае добавления другого проекта, серверная часть выдаст ошибку. Внутри 1 проекта возможно проведение всех видов анализа неограниченное количество раз во время действия лицензии.</t>
  </si>
  <si>
    <t xml:space="preserve">	Лицензия для программного комплекса анализа безопасности программного кода "АК-ВС 3" на 1 год для неограниченного количества проектов;
1 год технической поддержки;
Поддержка анализируемых языков: C/C++, Java, C#, PHP, Python, JavaScript, Go и Perl.
Лицензия на 1 проект подразумевает, что в списке проектов возможно будет создавать и работать только с 1 проектом. В случае добавления другого проекта, серверная часть выдаст ошибку. Внутри 1 проекта возможно проведение всех видов анализа неограниченное количество раз во время действия лицензии.</t>
  </si>
  <si>
    <t>Лицензия для программного комплекса анализа безопасности программного кода "АК-ВС 3" для 1 проекта.
Поддержка анализируемых языков: C/C++, Java, C#, PHP, Python, JavaScript, Go и Perl.
Лицензия на 1 проект подразумевает, что в списке проектов возможно будет создавать и работать только с 1 проектом. В случае добавления другого проекта, серверная часть выдаст ошибку. Внутри 1 проекта возможно проведение всех видов анализа неограниченное количество раз во время действия лицензии.</t>
  </si>
  <si>
    <t>AK-VS3-SE-lic-L-EL</t>
  </si>
  <si>
    <t>AK-VS3-SE-lic-O-EL</t>
  </si>
  <si>
    <t>АК-VS3-UPP-Lic-O-EL</t>
  </si>
  <si>
    <t>AK-VS3-lic-TSP-Unl-EL</t>
  </si>
  <si>
    <t>AK-VS3-lic-TSP-L-EL</t>
  </si>
  <si>
    <t>Анализатор исходных текстов программ «АК-ВС 3». Лицензия на 1 доступный проект сроком на 6 месяцев. Электронная поставка (рег. № 14300)</t>
  </si>
  <si>
    <t>Анализатор исходных текстов программ «АК-ВС 3». Лицензия на 1 доступный проект  сроком на 1 год с поддержкой одного языка на выбор. Электронная поставка (рег. № 14300)</t>
  </si>
  <si>
    <t>Анализатор исходных текстов программ «АК-ВС 3». Продление лицензии на 1 год с поддержкой одного языка на выбор. Электронная поставка (рег. № 14300)</t>
  </si>
  <si>
    <t>Сертификат технической поддержки для анализатора исходых текстов программ «АК-ВС 3» для бессрочной лицензии на неограниченное количество доступных проектов (AK-VS3-lic-S).Электронная поставка.</t>
  </si>
  <si>
    <t>Сертификат технической поддержки для анализатора исходых текстов программ «АК-ВС 3» для лицензии на 1 доступный проект сроком на 6 месяцев (AK-VS3-SE-lic-L). Электронная поставка.</t>
  </si>
  <si>
    <r>
      <t xml:space="preserve">Техническая поддержка до окончания действия лицензии 8х5, обращения по E-mail, телефон. 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</si>
  <si>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Перечень языков обсуждается индивидуально
(цена зависит от языка программирования и технических требований). 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</si>
  <si>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Продление ранее приобретенной лицензии на дополнительный проект ПО "АК-ВС 3" на 1 год.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</si>
  <si>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Продление ранее приобретенной лицензии ПО "АК-ВС 3" на 1 год с поддержкой одного языка на выбор. 
1 год технической поддержки.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</si>
  <si>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Продление ранее приобретенной лицензии ПО "АК-ВС 3" на 1 год. 
1 год технической поддержки.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</si>
  <si>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Лицензия программного комплекса анализа безопасности программного кода "АК-ВС 3" на 6 месяцев для 1 проекта. </t>
    </r>
    <r>
      <rPr>
        <b/>
        <sz val="9"/>
        <color theme="1"/>
        <rFont val="Microsoft Tai Le"/>
        <family val="2"/>
      </rPr>
      <t>Без возможности продления;</t>
    </r>
    <r>
      <rPr>
        <sz val="9"/>
        <color theme="1"/>
        <rFont val="Microsoft Tai Le"/>
        <family val="2"/>
      </rPr>
      <t xml:space="preserve">
Проведение статического и динамического анализов исходных кодов программ;
Поддержка анализируемых языков: C/C++;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25.12.2020) 
</t>
    </r>
    <r>
      <rPr>
        <b/>
        <sz val="9"/>
        <color theme="1"/>
        <rFont val="Microsoft Tai Le"/>
        <family val="2"/>
      </rPr>
      <t>(только под конфу) 
Электронная поставка.</t>
    </r>
  </si>
  <si>
    <r>
      <t xml:space="preserve">Лицензия программного комплекса анализа безопасности программного кода "АК-ВС 3" на 1 год для 1 проекта;
1 год технической поддержки; 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</si>
  <si>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Лицензия программного комплекса анализа безопасности программного кода "АК-ВС 3" на 6 месяцев для 1 проекта. Без возможности продления; Без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</si>
  <si>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Лицензия для программного обеспечения анализа безопасности программного кода "АК-ВС 3" на срок действия лицензии для 1 проекта; 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 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</si>
  <si>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Лицензия для программного обеспечения анализа безопасности программного кода "АК-ВС 3" на неограниченное количество доступных проектов бессрочно; 
Без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</si>
  <si>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Лицензия для программного обеспечения анализа безопасности программного кода "АК-ВС 3" на неограниченное количество доступных проектов сроком на 1 год; 
1 год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</si>
  <si>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Лицензия для программного обеспечения анализа безопасности программного кода "АК-ВС 3" на 1 год для 5 проектов; 
1 год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
</t>
    </r>
    <r>
      <rPr>
        <b/>
        <sz val="9"/>
        <color theme="1"/>
        <rFont val="Microsoft Tai Le"/>
        <family val="2"/>
      </rPr>
      <t>Электронная поставка.</t>
    </r>
  </si>
  <si>
    <r>
      <t xml:space="preserve">Лицензия для программного обеспечения анализа безопасности программного кода "АК-ВС 3" на 1 год для 1 проекта; 
1 год технической поддержки;
Проведение статического и динамического анализов исходных кодов программ;
Поддержка анализируемых языков: C/C++, Java, C#, PHP, Python, JavaScript, Go и Perl;
Соответствует требованиям национального стандарта ГОСТ Р 71207-2024;
Соответствует требованиям Методики выявления уязвимостей и НДВ в ПО (утв. ФСТЭК России 12.05.2026) 
Лицензия на 1 проект подразумевает, что в списке проектов возможно будет создавать и работать только с 1 проектом. В случае добавления другого проекта, серверная часть выдаст ошибку. Внутри 1 проекта возможно проведение всех видов анализа неограниченное количество раз во время действия лицензии.
</t>
    </r>
    <r>
      <rPr>
        <b/>
        <sz val="9"/>
        <color theme="1"/>
        <rFont val="Microsoft Tai Le"/>
        <family val="2"/>
      </rPr>
      <t>Электронная поставка.</t>
    </r>
  </si>
  <si>
    <t>*Лицензия на 1 проект подразумевает, что в списке проектов возможно будет создавать и работать только с 1 проектом. Внутри 1 проекта возможно проведение всех видов анализа неограниченное количество раз во время действия лицензии.</t>
  </si>
  <si>
    <t>** Лицензия на 5 проектов подразумевает, что в списке проектов возможно будет создавать и работать только с 5 проектами. Внутри 1 проекта возможно проведение всех видов анализа неограниченное количество раз во время действия лицензии.</t>
  </si>
  <si>
    <t>*** Лицензия на 10 проектов подразумевает, что в списке проектов возможно будет создавать и работать только с 10 проектами. Внутри 1 проекта возможно проведение всех видов анализа неограниченное количество раз во время действия лицензии.</t>
  </si>
  <si>
    <t>**** Лицензия на 1 дополнительный проект подразумевает, что в списке проектов возможно будет создавать и работать с еще 1 дополнительным проектом, помимо заранее заданного количества проектов, предусмотренных основной лицензией «CAT».</t>
  </si>
  <si>
    <t>Основные лицензии (вкл. НДС 22%)</t>
  </si>
  <si>
    <t>Продление лицензий (вкл. НДС 22%)</t>
  </si>
  <si>
    <t xml:space="preserve">Комплект электронной поставки: </t>
  </si>
  <si>
    <t>CAT-lic-1-year-EL</t>
  </si>
  <si>
    <t>CAT-lic-5-year-EL</t>
  </si>
  <si>
    <t>CAT-lic-10-year-EL</t>
  </si>
  <si>
    <t>CAT-lic-Unl-year-EL</t>
  </si>
  <si>
    <t>CAT-lic-prj-year-EL</t>
  </si>
  <si>
    <t>CAT-UPP-Lic-1-year-EL</t>
  </si>
  <si>
    <t>CAT-UPP-Lic-5-year-EL</t>
  </si>
  <si>
    <t>CAT-UPP-Lic-10-year-EL</t>
  </si>
  <si>
    <t>CAT-UPP-Lic-Unl-year-EL</t>
  </si>
  <si>
    <t>CAT-UPP-prj-А-year-EL</t>
  </si>
  <si>
    <t>Инструмент композиционного анализа «CAT». Лицензия на 10 одновременно выполняемых проектов сроком на 1 год. Электронная поставка.</t>
  </si>
  <si>
    <t>Инструмент композиционного анализа «CAT». Лицензия на 5 одновременно выполняемых проектов сроком на 1 год. Электронная поставка.</t>
  </si>
  <si>
    <t>Инструмент композиционного анализа «CAT». Лицензия на 1 проект сроком на 1 год. Электронная поставка.</t>
  </si>
  <si>
    <t>Инструмент композиционного анализа «CAT». Лицензия на неограниченное количество одновременно выполняемых проектов сроком на 1 год. Электронная поставка.</t>
  </si>
  <si>
    <t>Инструмент композиционного анализа «CAT». Лицензия на одновременное использование 1 дополнительного проекта «CAT» на 1 год. Электронная поставка.</t>
  </si>
  <si>
    <t>Инструмент композиционного анализа «CAT». Продление лицензии на 1 проект 1 год. Электронная поставка.</t>
  </si>
  <si>
    <t>Инструмент композиционного анализа «CAT». Продление лицензии на 5 проектов на 1 год. Электронная поставка.</t>
  </si>
  <si>
    <t>Инструмент композиционного анализа «CAT». Продление лицензии на неограниченное количество проектов на 1 год. Электронная поставка.</t>
  </si>
  <si>
    <t>Инструмент композиционного анализа «CAT». Продление лицензии права использования 1 дополнительного проекта на 1 год. Электронная поставка.</t>
  </si>
  <si>
    <r>
      <t xml:space="preserve">Лицензия для инструмента композиционного анализа «CAT» на 1 год для 1 проекта*; 
Соответствует требованиям национального стандарта ГОСТ Р 56939-2024.
Соответствует требованиям Методики выявления уязвимостей и НДВ в ПО
(утв. ФСТЭК России 25.12.2020). 
</t>
    </r>
    <r>
      <rPr>
        <b/>
        <sz val="9"/>
        <color theme="1"/>
        <rFont val="Microsoft Tai Le"/>
        <family val="2"/>
      </rPr>
      <t>Электронная поставка</t>
    </r>
  </si>
  <si>
    <r>
      <t xml:space="preserve">Лицензия для инструмента композиционного анализа «CAT» на 1 год для 5 проектов**; 
Соответствует требованиям национального стандарта ГОСТ Р 56939-2024.
Соответствует требованиям Методики выявления уязвимостей и НДВ в ПО
(утв. ФСТЭК России 25.12.2020).
</t>
    </r>
    <r>
      <rPr>
        <b/>
        <sz val="9"/>
        <color theme="1"/>
        <rFont val="Microsoft Tai Le"/>
        <family val="2"/>
      </rPr>
      <t>Электронная поставка</t>
    </r>
  </si>
  <si>
    <r>
      <t xml:space="preserve">Лицензия для инструмента композиционного анализа «CAT» на неограниченное количество одновременно выполняемых проектов сроком на 1 год; 
Соответствует требованиям национального стандарта ГОСТ Р 56939-2024.
Соответствует требованиям Методики выявления уязвимостей и НДВ в ПО
(утв. ФСТЭК России 25.12.2020).
</t>
    </r>
    <r>
      <rPr>
        <b/>
        <sz val="9"/>
        <color theme="1"/>
        <rFont val="Microsoft Tai Le"/>
        <family val="2"/>
      </rPr>
      <t>Электронная поставка</t>
    </r>
  </si>
  <si>
    <r>
      <t xml:space="preserve">Лицензия для инструмента композиционного анализа «CAT» на использование 1 дополнительного проекта «CAT»****; 
Соответствует требованиям национального стандарта ГОСТ Р 56939-2024.
Соответствует требованиям Методики выявления уязвимостей и НДВ в ПО
(утв. ФСТЭК России 25.12.2020).
</t>
    </r>
    <r>
      <rPr>
        <b/>
        <sz val="9"/>
        <color theme="1"/>
        <rFont val="Microsoft Tai Le"/>
        <family val="2"/>
      </rPr>
      <t>Электронная поставка</t>
    </r>
  </si>
  <si>
    <r>
      <t xml:space="preserve">Продление ранее приобретенной лицензии ПО «CAT» на 1 год для 1 проекта*.
</t>
    </r>
    <r>
      <rPr>
        <b/>
        <sz val="9"/>
        <color theme="1"/>
        <rFont val="Microsoft Tai Le"/>
        <family val="2"/>
      </rPr>
      <t>Электронная поставка</t>
    </r>
  </si>
  <si>
    <r>
      <t xml:space="preserve">Продление ранее приобретенной лицензии ПО «CAT» на 1 год для 5 проектов**.
</t>
    </r>
    <r>
      <rPr>
        <b/>
        <sz val="9"/>
        <color theme="1"/>
        <rFont val="Microsoft Tai Le"/>
        <family val="2"/>
      </rPr>
      <t>Электронная поставка</t>
    </r>
  </si>
  <si>
    <r>
      <t xml:space="preserve">Продление ранее приобретенной лицензии ПО «CAT» на 1 год для 10 проектов***. 
</t>
    </r>
    <r>
      <rPr>
        <b/>
        <sz val="9"/>
        <color theme="1"/>
        <rFont val="Microsoft Tai Le"/>
        <family val="2"/>
      </rPr>
      <t>Электронная поставка</t>
    </r>
  </si>
  <si>
    <r>
      <t xml:space="preserve">Продление ранее приобретенной лицензии ПО «CAT» на 1 год для неограниченного количества проектов.
</t>
    </r>
    <r>
      <rPr>
        <b/>
        <sz val="9"/>
        <color theme="1"/>
        <rFont val="Microsoft Tai Le"/>
        <family val="2"/>
      </rPr>
      <t>Электронная поставка</t>
    </r>
  </si>
  <si>
    <r>
      <t xml:space="preserve">Продление ранее приобретенной лицензии на 1 дополнительный проект ПО «CAT» на 1 год****.
</t>
    </r>
    <r>
      <rPr>
        <b/>
        <sz val="9"/>
        <color theme="1"/>
        <rFont val="Microsoft Tai Le"/>
        <family val="2"/>
      </rPr>
      <t>Электронная поставка</t>
    </r>
  </si>
  <si>
    <t>Электронная поставка - Инструмент композиционного анализа «CAT» без сертификата соответствия</t>
  </si>
  <si>
    <r>
      <t xml:space="preserve">Лицензия для инструмента композиционного анализа «CAT» на 1 год для 10 проектов***; 
Соответствует требованиям национального стандарта ГОСТ Р 56939-2024.
Соответствует требованиям Методики выявления уязвимостей и НДВ в ПО
(утв. ФСТЭК России 25.12.2020). 
</t>
    </r>
    <r>
      <rPr>
        <b/>
        <sz val="9"/>
        <color theme="1"/>
        <rFont val="Microsoft Tai Le"/>
        <family val="2"/>
      </rPr>
      <t>Электронная поставка</t>
    </r>
  </si>
  <si>
    <t xml:space="preserve">Две электронные ссылки:
1. Лицензия
2. Дистрибутив и документация
3. Формуляр
4. Ведомость эксплуатационных документов </t>
  </si>
  <si>
    <t xml:space="preserve">1. Лицензия
2. Дистрибутив и эксплуатационная документация
3. Формуляр
</t>
  </si>
  <si>
    <t>SCANER-VS-7-8-E-F</t>
  </si>
  <si>
    <t>SCANER-VS-7-16-E-F</t>
  </si>
  <si>
    <t>SCANER-VS-7-32-E-F</t>
  </si>
  <si>
    <t>SCANER-VS-7-64-E-F</t>
  </si>
  <si>
    <t>SCANER-VS-7-128-E-F</t>
  </si>
  <si>
    <t>Программное обеспечение "Сканер-ВС". Лицензия Enterprise на 8 активов на 1 год (рег. № 231)</t>
  </si>
  <si>
    <t>Программное обеспечение "Сканер-ВС". Лицензия Enterprise на 16 активов на 1 год (рег. № 231)</t>
  </si>
  <si>
    <t>Программное обеспечение "Сканер-ВС". Лицензия Enterprise на 32 активов на 1 год (рег. № 231)</t>
  </si>
  <si>
    <t>Программное обеспечение "Сканер-ВС". Лицензия Enterprise на 64 активов на 1 год (рег. № 231)</t>
  </si>
  <si>
    <t>Программное обеспечение "Сканер-ВС". Лицензия Enterprise на 128 активов на 1 год (рег. № 231)</t>
  </si>
  <si>
    <t>Средство анализа защищенности «Сканер-ВС». НПЕШ.00606-01. Переход с 7-й версии Base на Enterprise. Лицензия на 8 активов (рег. № 231)</t>
  </si>
  <si>
    <t>Средство анализа защищенности «Сканер-ВС». НПЕШ.00606-01. Переход с 7-й версии Base на Enterprise. Лицензия на 16 активов (рег. № 231)</t>
  </si>
  <si>
    <t>Средство анализа защищенности «Сканер-ВС». НПЕШ.00606-01. Переход с 7-й версии Base на Enterprise. Лицензия на 32 активов (рег. № 231)</t>
  </si>
  <si>
    <t>Средство анализа защищенности «Сканер-ВС». НПЕШ.00606-01. Переход с 7-й версии Base на Enterprise. Лицензия на 64 активов (рег. № 231)</t>
  </si>
  <si>
    <t>Средство анализа защищенности «Сканер-ВС». НПЕШ.00606-01. Переход с 7-й версии Base на Enterprise. Лицензия на 128 активов (рег. № 231)</t>
  </si>
  <si>
    <t>Программное средство "Сканер-ВС". Продление лицензии Enterprise на 8 активов на 1 год (рег. № 231)</t>
  </si>
  <si>
    <t>Программное средство "Сканер-ВС". Продление лицензии Enterprise на 16 активов на 1 год (рег. № 231)</t>
  </si>
  <si>
    <t>Программное средство "Сканер-ВС". Продление лицензии Enterprise на 32 активов на 1 год (рег. № 231)</t>
  </si>
  <si>
    <t>Программное средство "Сканер-ВС". Продление лицензии Enterprise на 64 активов на 1 год (рег. № 231)</t>
  </si>
  <si>
    <t>Программное средство "Сканер-ВС". Продление лицензии Enterprise на 128 активов на 1 год (рег. № 231)</t>
  </si>
  <si>
    <t>Продление ранее приобретенной лицензии программного обеспечения "Сканер-ВС". Лицензия Enterprise на 1 год. 
Обновление базы уязвимостей, технической поддержки и аудита конфигурации ОС. 
Сертификат ФСТЭК России по 4 уровню доверия.</t>
  </si>
  <si>
    <t>SCANER-VS-7-B/7-E-08-F-UPP</t>
  </si>
  <si>
    <t>SCANER-VS-7-B/7-E-16-F-UPP</t>
  </si>
  <si>
    <t>SCANER-VS-7-B/7-E-32-F-UPP</t>
  </si>
  <si>
    <t>SCANER-VS-7-B/7-E-64-F-UPP</t>
  </si>
  <si>
    <t>SCANER-VS-7-B/7-E-128-F-UPP</t>
  </si>
  <si>
    <t>SCANER-VS-7-8-UP-E-F</t>
  </si>
  <si>
    <t>SCANER-VS-7-16-UP-E-F</t>
  </si>
  <si>
    <t>SCANER-VS-7-32-UP-E-F</t>
  </si>
  <si>
    <t>SCANER-VS-7-64-UP-E-F</t>
  </si>
  <si>
    <t>SCANER-VS-7-128-UP-E-F</t>
  </si>
  <si>
    <t>INSPECTOR-7-8-E-F</t>
  </si>
  <si>
    <t>INSPECTOR-7-16-E-F</t>
  </si>
  <si>
    <t>INSPECTOR-7-32-E-F</t>
  </si>
  <si>
    <t>INSPECTOR-7-64-E-F</t>
  </si>
  <si>
    <t>INSPECTOR-7-128-E-F</t>
  </si>
  <si>
    <t>INSPECTOR-VS-7-B/7-E-08-F-UPP</t>
  </si>
  <si>
    <t>INSPECTOR-VS-7-B/7-E-16-F-UPP</t>
  </si>
  <si>
    <t>INSPECTOR-VS-7-B/7-E-32-F-UPP</t>
  </si>
  <si>
    <t>INSPECTOR-VS-7-B/7-E-64-F-UPP</t>
  </si>
  <si>
    <t>INSPECTOR-VS-7-B/7-E-128-F-UPP</t>
  </si>
  <si>
    <t>INSPECTOR-VS-7-8-UP-E-F</t>
  </si>
  <si>
    <t>INSPECTOR-VS-7-16-UP-E-F</t>
  </si>
  <si>
    <t>INSPECTOR-VS-7-32-UP-E-F</t>
  </si>
  <si>
    <t>INSPECTOR-VS-7-64-UP-E-F</t>
  </si>
  <si>
    <t>INSPECTOR-VS-7-128-UP-E-F</t>
  </si>
  <si>
    <t>Программное обеспечение "Сканер-ВС". Лицензия Enterprise включает компонент «Инспектор» на 8 активов на 1 год (рег. № 231)</t>
  </si>
  <si>
    <t>Программное обеспечение "Сканер-ВС". Лицензия Enterprise включает компонент «Инспектор» на 16 активов на 1 год (рег. № 231)</t>
  </si>
  <si>
    <t>Программное обеспечение "Сканер-ВС". Лицензия Enterprise включает компонент «Инспектор» на 32 активов на 1 год (рег. № 231)</t>
  </si>
  <si>
    <t>Программное обеспечение "Сканер-ВС". Лицензия Enterprise включает компонент «Инспектор» на 64 активов на 1 год (рег. № 231)</t>
  </si>
  <si>
    <t>Программное обеспечение "Сканер-ВС". Лицензия Enterprise включает компонент «Инспектор» на 128 активов на 1 год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</si>
  <si>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8 активов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</si>
  <si>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16 активов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</si>
  <si>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32 активов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</si>
  <si>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64 активов (рег. № 231)</t>
  </si>
  <si>
    <t>Средство анализа защищенности «Сканер-ВС» включает компонент «Инспектор». НПЕШ.00606-01. Переход с 7-й версии Base на Enterprise. Лицензия на 128 активов (рег. № 231)</t>
  </si>
  <si>
    <t>Программное средство "Сканер-ВС". Лицензия включает компонент «Инспектор». НПЕШ.00606-01. Продление лицензии Enterprise на 8 активов на 1 год (рег. № 231)</t>
  </si>
  <si>
    <t>Программное средство "Сканер-ВС". Лицензия включает компонент «Инспектор». НПЕШ.00606-01. Продление лицензии Enterprise на 16 активов на 1 год (рег. № 231)</t>
  </si>
  <si>
    <t>Программное средство "Сканер-ВС". Лицензия включает компонент «Инспектор». НПЕШ.00606-01. Продление лицензии Enterprise на 32 активов на 1 год (рег. № 231)</t>
  </si>
  <si>
    <t>Программное средство "Сканер-ВС". Лицензия включает компонент «Инспектор». НПЕШ.00606-01. Продление лицензии Enterprise на 64 активов на 1 год (рег. № 231)</t>
  </si>
  <si>
    <t>Программное средство "Сканер-ВС". Лицензия включает компонент «Инспектор». НПЕШ.00606-01. Продление лицензии Enterprise на 128 активов на 1 год (рег. № 231)</t>
  </si>
  <si>
    <t>Лицензия на программное обеспечение "Сканер-ВС". Лицензия Enterprise на 1 год. 
Обновления базы уязвимостей, технической поддержки и аудита конфигурации ОС в течение 1 года.
Сертификат ФСТЭК России по 4 уровню доверия.  Лицензия OC CH ALSE, USB-накопитель 256/512 GB.</t>
  </si>
  <si>
    <t>SCANER-VS-7-128-E-F-AL</t>
  </si>
  <si>
    <t>SCANER-VS-7-256-E-F-AL</t>
  </si>
  <si>
    <t>SCANER-VS-7-512-E-F-AL</t>
  </si>
  <si>
    <t>SCANER-VS-7-08-E-F-AL</t>
  </si>
  <si>
    <t>SCANER-VS-7-16-E-F-AL</t>
  </si>
  <si>
    <t>SCANER-VS-7-32-E-F-AL</t>
  </si>
  <si>
    <t>SCANER-VS-7-64-E-F-AL</t>
  </si>
  <si>
    <t>SCANER-VS-7-1024-E-F-AL</t>
  </si>
  <si>
    <t>SCANER-VS-7-2048-E-F-AL</t>
  </si>
  <si>
    <t>SCANER-VS-7-4096-E-F-AL</t>
  </si>
  <si>
    <t>SCANER-VS-7-8192-E-F-AL</t>
  </si>
  <si>
    <t>SCANER-VS-7-UNL-E-F-AL</t>
  </si>
  <si>
    <t>Программное обеспечение "Сканер-ВС". Лицензия Enterprise на 256 активов на 1 год c OC CH ALSE (рег. № 231)</t>
  </si>
  <si>
    <t>Программное обеспечение "Сканер-ВС". Лицензия Enterprise на 128 активов на 1 год c OC CH ALSE (рег. № 231)</t>
  </si>
  <si>
    <t>Программное обеспечение "Сканер-ВС". Лицензия Enterprise на 8 активов на 1 год c OC CH ALSE (рег. № 231)</t>
  </si>
  <si>
    <t>Программное обеспечение "Сканер-ВС". Лицензия Enterprise на 16 активов на 1 год c OC CH ALSE (рег. № 231)</t>
  </si>
  <si>
    <t>Программное обеспечение "Сканер-ВС". Лицензия Enterprise на 32 активов на 1 год c OC CH ALSE (рег. № 231)</t>
  </si>
  <si>
    <t>Программное обеспечение "Сканер-ВС". Лицензия Enterprise на 64 активов на 1 год c OC CH ALSE (рег. № 231)</t>
  </si>
  <si>
    <t>Программное обеспечение "Сканер-ВС". Лицензия Enterprise на 512 активов на 1 год c OC CH ALSE (рег. № 231)</t>
  </si>
  <si>
    <t>Программное обеспечение "Сканер-ВС". Лицензия Enterprise на 1024 активов на 1 год c OC CH ALSE (рег. № 231)</t>
  </si>
  <si>
    <t>Программное обеспечение "Сканер-ВС". Лицензия Enterprise на 2048 активов на 1 год c OC CH ALSE (рег. № 231)</t>
  </si>
  <si>
    <t>Программное обеспечение "Сканер-ВС". Лицензия Enterprise на 4096 активов на 1 год c OC CH ALSE (рег. № 231)</t>
  </si>
  <si>
    <t>Программное обеспечение "Сканер-ВС". Лицензия Enterprise на 8192 активов на 1 год c OC CH ALSE (рег. № 231)</t>
  </si>
  <si>
    <t>Программное обеспечение "Сканер-ВС". Лицензия без ограничения IP адресов на 1 год  c OC CH ALSE (рег. № 231)</t>
  </si>
  <si>
    <t>Лицензия на программное обеспечение "Сканер-ВС". Лицензия Enterprise включает компонент «Инспектор» на 1 год. 
Обновления базы уязвимостей, технической поддержки и аудита конфигурации ОС в течение 1 года.
Сертификат ФСТЭК России по 4 уровню доверия.
Лицензия OC CH ALSE, USB-накопитель 256/512 GB.</t>
  </si>
  <si>
    <t>INSPECTOR-7-16-E-F-AL</t>
  </si>
  <si>
    <t>INSPECTOR-7-8-E-F-AL</t>
  </si>
  <si>
    <t>INSPECTOR-7-32-E-F-AL</t>
  </si>
  <si>
    <t>INSPECTOR-7-64-E-F-AL</t>
  </si>
  <si>
    <t>INSPECTOR-7-128-E-F-AL</t>
  </si>
  <si>
    <t>INSPECTOR-7-256-E-F-AL</t>
  </si>
  <si>
    <t>INSPECTOR-7-512-E-F-AL</t>
  </si>
  <si>
    <t>INSPECTOR-7-1024-E-F-AL</t>
  </si>
  <si>
    <t>INSPECTOR-7-2048-E-F-AL</t>
  </si>
  <si>
    <t>INSPECTOR-7-4096-E-F-AL</t>
  </si>
  <si>
    <t>INSPECTOR-7-8192-E-F-AL</t>
  </si>
  <si>
    <t>INSPECTOR-7-unl-E-F-AL</t>
  </si>
  <si>
    <t>Программное обеспечение "Сканер-ВС". Лицензия Enterprise включает компонент «Инспектор» на 8 активов на 1 год c OC CH ALSE (рег. № 231)</t>
  </si>
  <si>
    <t>Программное обеспечение "Сканер-ВС". Лицензия Enterprise включает компонент «Инспектор» на 16 активов на 1 год c OC CH ALSE (рег. № 231)</t>
  </si>
  <si>
    <t>Программное обеспечение "Сканер-ВС". Лицензия Enterprise включает компонент «Инспектор» на 32 активов на 1 год c OC CH ALSE (рег. № 231)</t>
  </si>
  <si>
    <t>Программное обеспечение "Сканер-ВС". Лицензия Enterprise включает компонент «Инспектор» на 64 активов на 1 год c OC CH ALSE (рег. № 231)</t>
  </si>
  <si>
    <t>Программное обеспечение "Сканер-ВС". Лицензия Enterprise включает компонент «Инспектор» на 128 активов на 1 год c OC CH ALSE (рег. № 231)</t>
  </si>
  <si>
    <t>Программное обеспечение "Сканер-ВС". Лицензия Enterprise включает компонент «Инспектор» на 256 активов на 1 год c OC CH ALSE (рег. № 231)</t>
  </si>
  <si>
    <t>Программное обеспечение "Сканер-ВС". Лицензия Enterprise включает компонент «Инспектор» на 512 активов на 1 год c OC CH ALSE (рег. № 231)</t>
  </si>
  <si>
    <t>Программное обеспечение "Сканер-ВС". Лицензия Enterprise включает компонент «Инспектор» на 1024 активов на 1 год c OC CH ALSE (рег. № 231)</t>
  </si>
  <si>
    <t>Программное обеспечение "Сканер-ВС". Лицензия Enterprise включает компонент «Инспектор» на 2048 активов на 1 год c OC CH ALSE (рег. № 231)</t>
  </si>
  <si>
    <t>Программное обеспечение "Сканер-ВС". Лицензия Enterprise включает компонент «Инспектор» на 4096 активов на 1 год c OC CH ALSE (рег. № 231)</t>
  </si>
  <si>
    <t>Программное обеспечение "Сканер-ВС". Лицензия Enterprise включает компонент «Инспектор» на 8192 активов на 1 год c OC CH ALSE (рег. № 231)</t>
  </si>
  <si>
    <t>Программное обеспечение "Сканер-ВС". Лицензия Enterprise включает компонент «Инспектор» без ограничений по количеству активов на 1 год c OC CH ALSE (рег. № 231)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</si>
</sst>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36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Microsoft Tai Le"/>
      <family val="2"/>
    </font>
    <font>
      <sz val="9"/>
      <color theme="1"/>
      <name val="Microsoft Tai Le"/>
      <family val="2"/>
    </font>
    <font>
      <sz val="7"/>
      <color theme="1"/>
      <name val="Microsoft Tai Le"/>
      <family val="2"/>
    </font>
    <font>
      <b/>
      <sz val="11"/>
      <color theme="0"/>
      <name val="Microsoft Tai Le"/>
      <family val="2"/>
    </font>
    <font>
      <sz val="11"/>
      <color theme="1"/>
      <name val="Microsoft Tai Le"/>
      <family val="2"/>
    </font>
    <font>
      <b/>
      <sz val="14"/>
      <color theme="0"/>
      <name val="Microsoft Tai Le"/>
      <family val="2"/>
    </font>
    <font>
      <b/>
      <sz val="10"/>
      <color theme="0"/>
      <name val="Microsoft Tai Le"/>
      <family val="2"/>
    </font>
    <font>
      <sz val="11"/>
      <color theme="10"/>
      <name val="Calibri"/>
      <family val="2"/>
    </font>
    <font>
      <b/>
      <i/>
      <sz val="22"/>
      <color theme="1" tint="0.249977111117893"/>
      <name val="Calibri"/>
      <family val="2"/>
    </font>
    <font>
      <sz val="9"/>
      <name val="Microsoft Tai Le"/>
      <family val="2"/>
    </font>
    <font>
      <b/>
      <sz val="12"/>
      <color theme="0"/>
      <name val="Microsoft Tai Le"/>
      <family val="2"/>
    </font>
    <font>
      <sz val="10"/>
      <name val="Microsoft Tai Le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6"/>
      <color theme="1"/>
      <name val="Microsoft Tai Le"/>
      <family val="2"/>
    </font>
    <font>
      <b/>
      <sz val="16"/>
      <color theme="1"/>
      <name val="Microsoft Tai Le"/>
      <family val="2"/>
    </font>
    <font>
      <b/>
      <sz val="9"/>
      <color theme="0"/>
      <name val="Microsoft Tai Le"/>
      <family val="2"/>
    </font>
    <font>
      <sz val="8"/>
      <color theme="1"/>
      <name val="Microsoft Tai Le"/>
      <family val="2"/>
    </font>
    <font>
      <sz val="11"/>
      <color theme="1"/>
      <name val="Calibri"/>
      <family val="2"/>
    </font>
    <font>
      <b/>
      <sz val="9"/>
      <color theme="1"/>
      <name val="Microsoft Tai Le"/>
      <family val="2"/>
    </font>
    <font>
      <b/>
      <sz val="9"/>
      <name val="Microsoft Tai Le"/>
      <family val="2"/>
    </font>
    <font>
      <b/>
      <sz val="7"/>
      <color theme="1"/>
      <name val="Microsoft Tai Le"/>
      <family val="2"/>
    </font>
    <font>
      <b/>
      <sz val="8"/>
      <color theme="1"/>
      <name val="Microsoft Tai Le"/>
      <family val="2"/>
    </font>
    <font>
      <b/>
      <sz val="12"/>
      <color theme="0"/>
      <name val="Microsoft Tai Le"/>
      <family val="2"/>
    </font>
    <font>
      <u/>
      <sz val="11"/>
      <color theme="1"/>
      <name val="Calibri"/>
      <family val="2"/>
      <charset val="204"/>
    </font>
    <font>
      <b/>
      <sz val="14"/>
      <color theme="0"/>
      <name val="Microsoft Tai Le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9"/>
      <color theme="0"/>
      <name val="Microsoft Tai Le"/>
      <family val="2"/>
      <charset val="204"/>
    </font>
    <font>
      <sz val="9"/>
      <color theme="1"/>
      <name val="Microsoft Tai Le"/>
      <family val="2"/>
      <charset val="204"/>
    </font>
    <font>
      <b/>
      <sz val="9"/>
      <color theme="1"/>
      <name val="Microsoft Tai Le"/>
      <family val="2"/>
      <charset val="204"/>
    </font>
    <font>
      <sz val="9"/>
      <color theme="1"/>
      <name val="Calibri"/>
      <family val="2"/>
      <charset val="204"/>
    </font>
    <font>
      <b/>
      <sz val="12"/>
      <color theme="1"/>
      <name val="Microsoft Tai Le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0000"/>
      </patternFill>
    </fill>
    <fill>
      <patternFill patternType="solid">
        <fgColor rgb="FF777777"/>
      </patternFill>
    </fill>
    <fill>
      <patternFill patternType="solid">
        <fgColor rgb="FFE2E2E2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2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77777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" fillId="0" borderId="0"/>
    <xf numFmtId="44" fontId="21" fillId="0" borderId="0" applyFont="0" applyFill="0" applyBorder="0" applyAlignment="0" applyProtection="0"/>
    <xf numFmtId="0" fontId="29" fillId="0" borderId="0"/>
  </cellStyleXfs>
  <cellXfs count="90">
    <xf numFmtId="0" fontId="0" fillId="0" borderId="0" xfId="0"/>
    <xf numFmtId="0" fontId="7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5" fillId="0" borderId="0" xfId="0" applyFont="1"/>
    <xf numFmtId="164" fontId="0" fillId="0" borderId="0" xfId="0" applyNumberFormat="1"/>
    <xf numFmtId="0" fontId="0" fillId="7" borderId="1" xfId="0" applyFill="1" applyBorder="1"/>
    <xf numFmtId="0" fontId="10" fillId="7" borderId="1" xfId="3" applyFill="1" applyBorder="1" applyAlignment="1">
      <alignment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wrapText="1"/>
    </xf>
    <xf numFmtId="0" fontId="0" fillId="7" borderId="1" xfId="0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164" fontId="12" fillId="4" borderId="3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0" fillId="7" borderId="1" xfId="3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44" fontId="4" fillId="4" borderId="1" xfId="5" applyFont="1" applyFill="1" applyBorder="1" applyAlignment="1">
      <alignment horizontal="center" vertical="center" wrapText="1"/>
    </xf>
    <xf numFmtId="0" fontId="4" fillId="4" borderId="1" xfId="5" applyNumberFormat="1" applyFont="1" applyFill="1" applyBorder="1" applyAlignment="1">
      <alignment horizontal="center" vertical="center" wrapText="1"/>
    </xf>
    <xf numFmtId="0" fontId="27" fillId="8" borderId="0" xfId="3" applyFont="1" applyFill="1"/>
    <xf numFmtId="0" fontId="4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vertical="center" wrapText="1"/>
    </xf>
    <xf numFmtId="0" fontId="32" fillId="9" borderId="1" xfId="0" applyFont="1" applyFill="1" applyBorder="1" applyAlignment="1">
      <alignment horizontal="center" vertical="center" wrapText="1"/>
    </xf>
    <xf numFmtId="164" fontId="32" fillId="9" borderId="1" xfId="0" applyNumberFormat="1" applyFont="1" applyFill="1" applyBorder="1" applyAlignment="1">
      <alignment horizontal="center" vertical="center" wrapText="1"/>
    </xf>
    <xf numFmtId="0" fontId="32" fillId="0" borderId="0" xfId="0" applyFont="1"/>
    <xf numFmtId="0" fontId="33" fillId="7" borderId="1" xfId="0" applyFont="1" applyFill="1" applyBorder="1" applyAlignment="1">
      <alignment horizontal="center" vertical="center" wrapText="1"/>
    </xf>
    <xf numFmtId="0" fontId="34" fillId="7" borderId="1" xfId="0" applyFont="1" applyFill="1" applyBorder="1"/>
    <xf numFmtId="0" fontId="34" fillId="7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left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wrapText="1"/>
    </xf>
    <xf numFmtId="0" fontId="34" fillId="7" borderId="1" xfId="0" applyFont="1" applyFill="1" applyBorder="1" applyAlignment="1">
      <alignment wrapText="1"/>
    </xf>
    <xf numFmtId="0" fontId="1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vertical="center" wrapText="1"/>
    </xf>
    <xf numFmtId="0" fontId="0" fillId="0" borderId="4" xfId="0" applyBorder="1"/>
    <xf numFmtId="0" fontId="8" fillId="3" borderId="1" xfId="0" applyFont="1" applyFill="1" applyBorder="1" applyAlignment="1">
      <alignment horizontal="center" vertical="center" wrapText="1"/>
    </xf>
    <xf numFmtId="0" fontId="28" fillId="11" borderId="1" xfId="0" applyFont="1" applyFill="1" applyBorder="1" applyAlignment="1">
      <alignment horizontal="center" vertical="center" wrapText="1"/>
    </xf>
    <xf numFmtId="0" fontId="31" fillId="10" borderId="2" xfId="0" applyFont="1" applyFill="1" applyBorder="1" applyAlignment="1">
      <alignment horizontal="center" vertical="center" wrapText="1"/>
    </xf>
    <xf numFmtId="0" fontId="31" fillId="10" borderId="3" xfId="0" applyFont="1" applyFill="1" applyBorder="1" applyAlignment="1">
      <alignment horizontal="center" vertical="center" wrapText="1"/>
    </xf>
    <xf numFmtId="0" fontId="31" fillId="10" borderId="4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</cellXfs>
  <cellStyles count="7">
    <cellStyle name="Гиперссылка" xfId="3" xr:uid="{00000000-0005-0000-0000-000000000000}"/>
    <cellStyle name="Денежный 2" xfId="5" xr:uid="{00000000-0005-0000-0000-000001000000}"/>
    <cellStyle name="Денежный 3" xfId="1" xr:uid="{00000000-0005-0000-0000-000002000000}"/>
    <cellStyle name="Обычный" xfId="0" builtinId="0"/>
    <cellStyle name="Обычный 2" xfId="6" xr:uid="{601F2B86-6D5D-479A-87E9-B65113C0EB45}"/>
    <cellStyle name="Обычный 3" xfId="2" xr:uid="{00000000-0005-0000-0000-000004000000}"/>
    <cellStyle name="Обычный 3 2" xfId="4" xr:uid="{00000000-0005-0000-0000-000005000000}"/>
  </cellStyles>
  <dxfs count="0"/>
  <tableStyles count="0" defaultTableStyle="TableStyleMedium2" defaultPivotStyle="PivotStyleLight16"/>
  <colors>
    <mruColors>
      <color rgb="FFD2B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180975</xdr:rowOff>
    </xdr:from>
    <xdr:to>
      <xdr:col>6</xdr:col>
      <xdr:colOff>152400</xdr:colOff>
      <xdr:row>5</xdr:row>
      <xdr:rowOff>0</xdr:rowOff>
    </xdr:to>
    <xdr:pic>
      <xdr:nvPicPr>
        <xdr:cNvPr id="2" name="/xl/media/image1.e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Другая 4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6F3B55"/>
      </a:hlink>
      <a:folHlink>
        <a:srgbClr val="6F3B55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Другая 4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etecs.ru/scanne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etecs.ru/scanner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etecs.ru/scanner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etecs.ru/scanner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etecs.ru/scanner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etecs.ru/scanner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etecs.ru/scanner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etecs.ru/scanner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disk.yandex.ru/d/2uniZXQoALjbwA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P23"/>
  <sheetViews>
    <sheetView tabSelected="1" workbookViewId="0">
      <selection activeCell="L4" sqref="L4:P5"/>
    </sheetView>
  </sheetViews>
  <sheetFormatPr defaultColWidth="8.7109375" defaultRowHeight="15"/>
  <cols>
    <col min="2" max="2" width="4.42578125" customWidth="1"/>
    <col min="16" max="16" width="51.28515625" customWidth="1"/>
  </cols>
  <sheetData>
    <row r="4" spans="2:16">
      <c r="L4" s="53" t="s">
        <v>0</v>
      </c>
      <c r="M4" s="53"/>
      <c r="N4" s="53"/>
      <c r="O4" s="53"/>
      <c r="P4" s="53"/>
    </row>
    <row r="5" spans="2:16">
      <c r="L5" s="53"/>
      <c r="M5" s="53"/>
      <c r="N5" s="53"/>
      <c r="O5" s="53"/>
      <c r="P5" s="53"/>
    </row>
    <row r="7" spans="2:16" s="20" customFormat="1" ht="14.65" customHeight="1">
      <c r="B7" s="36" t="s">
        <v>1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2:16" s="20" customFormat="1" ht="14.65" customHeight="1">
      <c r="B8" s="36" t="s">
        <v>192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</row>
    <row r="9" spans="2:16" s="20" customFormat="1" ht="14.65" customHeight="1">
      <c r="B9" s="36" t="s">
        <v>2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2:16" s="20" customFormat="1" ht="14.65" customHeight="1">
      <c r="B10" s="36" t="s">
        <v>340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2:16" s="20" customFormat="1" ht="14.65" customHeight="1">
      <c r="B11" s="36" t="s">
        <v>3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2:16" s="20" customFormat="1" ht="14.65" customHeight="1">
      <c r="B12" s="36" t="s">
        <v>514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</row>
    <row r="13" spans="2:16" s="20" customFormat="1" ht="14.65" customHeight="1">
      <c r="B13" s="36" t="s">
        <v>4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4" spans="2:16" s="20" customFormat="1" ht="14.65" customHeight="1">
      <c r="B14" s="36" t="s">
        <v>810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2:16" ht="14.65" customHeight="1">
      <c r="B15" s="36" t="s">
        <v>790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</row>
    <row r="16" spans="2:16" ht="14.65" customHeight="1">
      <c r="B16" s="36" t="s">
        <v>5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</row>
    <row r="17" spans="2:16" ht="14.65" customHeight="1">
      <c r="B17" s="36" t="s">
        <v>811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2:16" ht="14.65" customHeight="1">
      <c r="B18" s="36" t="s">
        <v>6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2:16" ht="14.65" customHeight="1">
      <c r="B19" s="36" t="s">
        <v>1123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2:16" ht="14.65" customHeight="1">
      <c r="B20" s="36" t="s">
        <v>7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</row>
    <row r="21" spans="2:16" ht="14.65" customHeight="1">
      <c r="B21" s="36" t="s">
        <v>8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</row>
    <row r="22" spans="2:16" ht="14.65" customHeight="1">
      <c r="B22" s="36" t="s">
        <v>9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2:16" ht="14.65" customHeight="1">
      <c r="B23" s="36" t="s">
        <v>10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</row>
  </sheetData>
  <mergeCells count="1">
    <mergeCell ref="L4:P5"/>
  </mergeCells>
  <hyperlinks>
    <hyperlink ref="B7:P7" location="'Сканер-ВС 7.0 BASE ФСТЭК'!A1" display="Средство анализа защищенности «Сканер-ВС» 7 BASE. Сертификат ФСТЭК " xr:uid="{997BFADD-2DD1-4AEA-AD19-6D8A4AA72D73}"/>
    <hyperlink ref="B8" location="'(Э) Сканер-ВС 7.0 BASE ФСТЭК'!A1" display="Электронная поставка - Средство анализа защищенности «Сканер-ВС» 7 BASE. Сертификат ФСТЭК " xr:uid="{E764CEC5-2E66-465B-8F3D-42FA0C1D2B0D}"/>
    <hyperlink ref="B9:P9" location="'Сканер-ВС 7.0 Enterprise'!A1" display="Средство анализа защищенности «Сканер-ВС» 7 Enterprise. Сертификат ФСТЭК " xr:uid="{57C69057-1B9F-4D82-9014-3D13289E80BD}"/>
    <hyperlink ref="B10" location="'(Э) Сканер-ВС 7.0 Enterprise'!A1" display="Электронная поставка - Средство анализа защищенности «Сканер-ВС» 7 Enterprise. Сертификат ФСТЭК " xr:uid="{8063A6B2-1F6D-4EE6-B7B0-9995C2D9DF49}"/>
    <hyperlink ref="B11:P11" location="'Сканер-ВС Инспектор 7.0 ФСТЭК '!A1" display="Средство анализа защищенности «Сканер-ВС» 7 включает компонент &quot;Инспектор&quot;. Сертификат ФСТЭК " xr:uid="{BBCD5950-4842-4D22-8960-5B10AD84A9AB}"/>
    <hyperlink ref="B12" location="'(Э) Сканер-ВС Инспектор 7.0 ФСТ'!A1" display="Электронная поставка - Средство анализа защищенности «Сканер-ВС» 7 включает компонент &quot;Инспектор&quot;. Сертификат ФСТЭК " xr:uid="{4B149978-6F9C-4C9E-98CD-53E50446F3C3}"/>
    <hyperlink ref="B13:P13" location="'Сканер-ВС7 Enterprise Инспектор'!A1" display="Средство анализа защищенности «Сканер-ВС» 7 Enterprise включает компонент &quot;Инспектор&quot; . Сертификат ФСТЭК " xr:uid="{DD07F46A-BAEC-45F0-9E4D-926117DAA50E}"/>
    <hyperlink ref="B14" location="'(Э) Сканер-ВС7 Enterprise Инспе'!A1" display="Электронная поставка - Средство анализа защищенности «Сканер-ВС» 7 Enterprise включает компонент &quot;Инспектор&quot;. Сертификат ФСТЭК" xr:uid="{E3279671-389F-42E8-96EF-A34CEA9FEFC0}"/>
    <hyperlink ref="B15:P15" location="'Комрад V4.5 ФСТЭК'!A1" display="Программный комплекс «KOMRAD Enterprise SIEM» V4.5. Сертификат ФСТЭК России" xr:uid="{5698AA90-AD36-448E-8274-316CA033E435}"/>
    <hyperlink ref="B16:P16" location="'АК-ВС3 без сертификата'!A1" display="Анализатор исходных текстов программ «АК-ВС 3» без сертфиката соответствия." xr:uid="{7FC7B341-A84B-4BE1-A875-5A35D12ED317}"/>
    <hyperlink ref="B17" location="'(Э) АК-ВС3 без сертификата'!A1" display="Электронная поставка - Анализатор исходных текстов программ «АК-ВС 3» без сертификата соответствия" xr:uid="{0DF70BA7-D3B3-4262-AED4-8E7FB197D337}"/>
    <hyperlink ref="B18:P18" location="'АК-ВС3 МО РФ'!A1" display="Анализатор исходных текстов программ «АК-ВС 3» сертификатом МО РФ" xr:uid="{0B76F0C3-E02B-4073-BE97-C768AF3FE46E}"/>
    <hyperlink ref="B20:P20" location="Генератор!A1" display="Программный генератор паролей &quot;Генератор&quot;. Сертификат МО РФ" xr:uid="{A927FF01-1991-498D-B25C-BADB75D5D0C1}"/>
    <hyperlink ref="B21:P21" location="'ПИК и ПИК Lite'!A1" display="Программа инспекционного контроля &quot;ПИК-Эшелон&quot; и &quot;ПИК-Эшелон&quot; версия Lite. Сертификат МО РФ" xr:uid="{CEB90041-CE70-4434-9CBD-2DDD383D2550}"/>
    <hyperlink ref="B22:P22" location="Пульсар!A1" display="Генератор шума &quot;Пульсар&quot;. Сертификат ФСТЭК / МО РФ" xr:uid="{B452243E-2A05-4433-8425-4322E44DAE13}"/>
    <hyperlink ref="B23:P23" location="'Рубикон ОШ'!A1" display="ПАК КП ПАВ «Рубикон» с функцией однонаправленного шлюза" xr:uid="{9610C06B-37DE-48B3-8146-8B1E73F1ECFA}"/>
    <hyperlink ref="B19" location="'(Э) CAT'!A1" display="Электронная поставка - Инструмент композиционного анализа «CAT» без сертификата соответствия" xr:uid="{34337C51-F9F8-42BE-91B8-376F07F8819C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H103"/>
  <sheetViews>
    <sheetView zoomScaleNormal="100" workbookViewId="0">
      <selection activeCell="B13" sqref="A13:B13"/>
    </sheetView>
  </sheetViews>
  <sheetFormatPr defaultColWidth="8.7109375" defaultRowHeight="15"/>
  <cols>
    <col min="1" max="1" width="31.28515625" customWidth="1"/>
    <col min="2" max="2" width="55.28515625" customWidth="1"/>
    <col min="3" max="5" width="14.42578125" customWidth="1"/>
    <col min="6" max="6" width="62.7109375" customWidth="1"/>
    <col min="7" max="7" width="10.42578125" customWidth="1"/>
    <col min="8" max="8" width="9.28515625" customWidth="1"/>
  </cols>
  <sheetData>
    <row r="1" spans="1:8" ht="17.25">
      <c r="A1" s="57" t="s">
        <v>1</v>
      </c>
      <c r="B1" s="57"/>
      <c r="C1" s="57"/>
      <c r="D1" s="57"/>
      <c r="E1" s="57"/>
      <c r="F1" s="57"/>
    </row>
    <row r="2" spans="1:8">
      <c r="A2" s="8" t="s">
        <v>11</v>
      </c>
      <c r="B2" s="8" t="s">
        <v>12</v>
      </c>
      <c r="C2" s="8" t="s">
        <v>18</v>
      </c>
      <c r="D2" s="8" t="s">
        <v>19</v>
      </c>
      <c r="E2" s="8" t="s">
        <v>20</v>
      </c>
      <c r="F2" s="8" t="s">
        <v>14</v>
      </c>
    </row>
    <row r="3" spans="1:8" ht="15.75">
      <c r="A3" s="54" t="s">
        <v>15</v>
      </c>
      <c r="B3" s="55"/>
      <c r="C3" s="55"/>
      <c r="D3" s="55"/>
      <c r="E3" s="55"/>
      <c r="F3" s="56"/>
    </row>
    <row r="4" spans="1:8" ht="38.25">
      <c r="A4" s="10" t="s">
        <v>21</v>
      </c>
      <c r="B4" s="10" t="s">
        <v>22</v>
      </c>
      <c r="C4" s="3">
        <f>16500*1.15</f>
        <v>18975</v>
      </c>
      <c r="D4" s="10">
        <v>1</v>
      </c>
      <c r="E4" s="3">
        <f t="shared" ref="E4:E16" si="0">C4*D4</f>
        <v>18975</v>
      </c>
      <c r="F4" s="10" t="s">
        <v>23</v>
      </c>
    </row>
    <row r="5" spans="1:8" ht="38.25">
      <c r="A5" s="10" t="s">
        <v>24</v>
      </c>
      <c r="B5" s="10" t="s">
        <v>25</v>
      </c>
      <c r="C5" s="3">
        <f>27500*1.15</f>
        <v>31624.999999999996</v>
      </c>
      <c r="D5" s="10">
        <v>1</v>
      </c>
      <c r="E5" s="3">
        <f t="shared" si="0"/>
        <v>31624.999999999996</v>
      </c>
      <c r="F5" s="10" t="s">
        <v>26</v>
      </c>
    </row>
    <row r="6" spans="1:8" ht="38.25">
      <c r="A6" s="10" t="s">
        <v>27</v>
      </c>
      <c r="B6" s="10" t="s">
        <v>28</v>
      </c>
      <c r="C6" s="3">
        <f>54000*1.15</f>
        <v>62099.999999999993</v>
      </c>
      <c r="D6" s="10">
        <v>1</v>
      </c>
      <c r="E6" s="3">
        <f t="shared" si="0"/>
        <v>62099.999999999993</v>
      </c>
      <c r="F6" s="10" t="s">
        <v>26</v>
      </c>
    </row>
    <row r="7" spans="1:8" ht="38.25">
      <c r="A7" s="10" t="s">
        <v>29</v>
      </c>
      <c r="B7" s="10" t="s">
        <v>30</v>
      </c>
      <c r="C7" s="3">
        <f>78000*1.15</f>
        <v>89700</v>
      </c>
      <c r="D7" s="10">
        <v>1</v>
      </c>
      <c r="E7" s="3">
        <f t="shared" si="0"/>
        <v>89700</v>
      </c>
      <c r="F7" s="10" t="s">
        <v>26</v>
      </c>
    </row>
    <row r="8" spans="1:8" ht="38.25">
      <c r="A8" s="10" t="s">
        <v>31</v>
      </c>
      <c r="B8" s="10" t="s">
        <v>32</v>
      </c>
      <c r="C8" s="3">
        <f>108000*1.15</f>
        <v>124199.99999999999</v>
      </c>
      <c r="D8" s="10">
        <v>1</v>
      </c>
      <c r="E8" s="3">
        <f t="shared" si="0"/>
        <v>124199.99999999999</v>
      </c>
      <c r="F8" s="10" t="s">
        <v>26</v>
      </c>
    </row>
    <row r="9" spans="1:8" ht="38.25">
      <c r="A9" s="10" t="s">
        <v>33</v>
      </c>
      <c r="B9" s="10" t="s">
        <v>34</v>
      </c>
      <c r="C9" s="3">
        <f>162500*1.15</f>
        <v>186875</v>
      </c>
      <c r="D9" s="10">
        <v>1</v>
      </c>
      <c r="E9" s="3">
        <f t="shared" si="0"/>
        <v>186875</v>
      </c>
      <c r="F9" s="10" t="s">
        <v>26</v>
      </c>
    </row>
    <row r="10" spans="1:8" ht="38.25">
      <c r="A10" s="10" t="s">
        <v>35</v>
      </c>
      <c r="B10" s="10" t="s">
        <v>36</v>
      </c>
      <c r="C10" s="3">
        <f>234000*1.15</f>
        <v>269100</v>
      </c>
      <c r="D10" s="10">
        <v>1</v>
      </c>
      <c r="E10" s="3">
        <f t="shared" si="0"/>
        <v>269100</v>
      </c>
      <c r="F10" s="10" t="s">
        <v>26</v>
      </c>
    </row>
    <row r="11" spans="1:8" ht="38.25">
      <c r="A11" s="10" t="s">
        <v>37</v>
      </c>
      <c r="B11" s="10" t="s">
        <v>38</v>
      </c>
      <c r="C11" s="3">
        <f>364000*1.15</f>
        <v>418599.99999999994</v>
      </c>
      <c r="D11" s="10">
        <v>1</v>
      </c>
      <c r="E11" s="3">
        <f t="shared" si="0"/>
        <v>418599.99999999994</v>
      </c>
      <c r="F11" s="10" t="s">
        <v>26</v>
      </c>
    </row>
    <row r="12" spans="1:8" ht="38.25">
      <c r="A12" s="10" t="s">
        <v>39</v>
      </c>
      <c r="B12" s="10" t="s">
        <v>40</v>
      </c>
      <c r="C12" s="3">
        <f>637000*1.15</f>
        <v>732550</v>
      </c>
      <c r="D12" s="10">
        <v>1</v>
      </c>
      <c r="E12" s="3">
        <f t="shared" si="0"/>
        <v>732550</v>
      </c>
      <c r="F12" s="10" t="s">
        <v>26</v>
      </c>
    </row>
    <row r="13" spans="1:8" ht="38.25">
      <c r="A13" s="10" t="s">
        <v>41</v>
      </c>
      <c r="B13" s="10" t="s">
        <v>791</v>
      </c>
      <c r="C13" s="3">
        <f>1040000*1.15</f>
        <v>1196000</v>
      </c>
      <c r="D13" s="10">
        <v>1</v>
      </c>
      <c r="E13" s="3">
        <f t="shared" si="0"/>
        <v>1196000</v>
      </c>
      <c r="F13" s="10" t="s">
        <v>23</v>
      </c>
    </row>
    <row r="14" spans="1:8" ht="38.25">
      <c r="A14" s="10" t="s">
        <v>42</v>
      </c>
      <c r="B14" s="10" t="s">
        <v>792</v>
      </c>
      <c r="C14" s="3">
        <f>1690000*1.15</f>
        <v>1943499.9999999998</v>
      </c>
      <c r="D14" s="10">
        <v>1</v>
      </c>
      <c r="E14" s="3">
        <f t="shared" si="0"/>
        <v>1943499.9999999998</v>
      </c>
      <c r="F14" s="10" t="s">
        <v>23</v>
      </c>
    </row>
    <row r="15" spans="1:8" ht="38.25">
      <c r="A15" s="10" t="s">
        <v>43</v>
      </c>
      <c r="B15" s="10" t="s">
        <v>44</v>
      </c>
      <c r="C15" s="3">
        <f>3250000*1.15</f>
        <v>3737499.9999999995</v>
      </c>
      <c r="D15" s="10">
        <v>1</v>
      </c>
      <c r="E15" s="3">
        <f t="shared" si="0"/>
        <v>3737499.9999999995</v>
      </c>
      <c r="F15" s="10" t="s">
        <v>23</v>
      </c>
      <c r="H15" s="21"/>
    </row>
    <row r="16" spans="1:8" ht="38.25">
      <c r="A16" s="10" t="s">
        <v>45</v>
      </c>
      <c r="B16" s="10" t="s">
        <v>46</v>
      </c>
      <c r="C16" s="3">
        <f>4550000*1.15</f>
        <v>5232500</v>
      </c>
      <c r="D16" s="10">
        <v>1</v>
      </c>
      <c r="E16" s="3">
        <f t="shared" si="0"/>
        <v>5232500</v>
      </c>
      <c r="F16" s="10" t="s">
        <v>23</v>
      </c>
    </row>
    <row r="17" spans="1:7" ht="15.75">
      <c r="A17" s="54" t="s">
        <v>47</v>
      </c>
      <c r="B17" s="55"/>
      <c r="C17" s="55"/>
      <c r="D17" s="55"/>
      <c r="E17" s="55"/>
      <c r="F17" s="56"/>
    </row>
    <row r="18" spans="1:7" ht="15.75">
      <c r="A18" s="54" t="s">
        <v>793</v>
      </c>
      <c r="B18" s="55"/>
      <c r="C18" s="55"/>
      <c r="D18" s="55"/>
      <c r="E18" s="55"/>
      <c r="F18" s="56"/>
    </row>
    <row r="19" spans="1:7" ht="51">
      <c r="A19" s="10" t="s">
        <v>48</v>
      </c>
      <c r="B19" s="10" t="s">
        <v>49</v>
      </c>
      <c r="C19" s="3">
        <f t="shared" ref="C19:C31" si="1">C4+32500</f>
        <v>51475</v>
      </c>
      <c r="D19" s="10">
        <v>1</v>
      </c>
      <c r="E19" s="3">
        <f t="shared" ref="E19:E31" si="2">C19*D19</f>
        <v>51475</v>
      </c>
      <c r="F19" s="10" t="s">
        <v>50</v>
      </c>
      <c r="G19" s="21"/>
    </row>
    <row r="20" spans="1:7" ht="51">
      <c r="A20" s="10" t="s">
        <v>51</v>
      </c>
      <c r="B20" s="10" t="s">
        <v>52</v>
      </c>
      <c r="C20" s="11">
        <f t="shared" si="1"/>
        <v>64125</v>
      </c>
      <c r="D20" s="10">
        <v>1</v>
      </c>
      <c r="E20" s="3">
        <f t="shared" si="2"/>
        <v>64125</v>
      </c>
      <c r="F20" s="10" t="s">
        <v>50</v>
      </c>
    </row>
    <row r="21" spans="1:7" ht="51">
      <c r="A21" s="10" t="s">
        <v>53</v>
      </c>
      <c r="B21" s="10" t="s">
        <v>54</v>
      </c>
      <c r="C21" s="3">
        <f t="shared" si="1"/>
        <v>94600</v>
      </c>
      <c r="D21" s="10">
        <v>1</v>
      </c>
      <c r="E21" s="3">
        <f t="shared" si="2"/>
        <v>94600</v>
      </c>
      <c r="F21" s="10" t="s">
        <v>50</v>
      </c>
    </row>
    <row r="22" spans="1:7" ht="51">
      <c r="A22" s="10" t="s">
        <v>55</v>
      </c>
      <c r="B22" s="10" t="s">
        <v>56</v>
      </c>
      <c r="C22" s="11">
        <f t="shared" si="1"/>
        <v>122200</v>
      </c>
      <c r="D22" s="10">
        <v>1</v>
      </c>
      <c r="E22" s="3">
        <f t="shared" si="2"/>
        <v>122200</v>
      </c>
      <c r="F22" s="10" t="s">
        <v>50</v>
      </c>
    </row>
    <row r="23" spans="1:7" ht="51">
      <c r="A23" s="10" t="s">
        <v>57</v>
      </c>
      <c r="B23" s="10" t="s">
        <v>58</v>
      </c>
      <c r="C23" s="3">
        <f t="shared" si="1"/>
        <v>156700</v>
      </c>
      <c r="D23" s="10">
        <v>1</v>
      </c>
      <c r="E23" s="3">
        <f t="shared" si="2"/>
        <v>156700</v>
      </c>
      <c r="F23" s="10" t="s">
        <v>50</v>
      </c>
    </row>
    <row r="24" spans="1:7" ht="51">
      <c r="A24" s="10" t="s">
        <v>59</v>
      </c>
      <c r="B24" s="10" t="s">
        <v>60</v>
      </c>
      <c r="C24" s="11">
        <f t="shared" si="1"/>
        <v>219375</v>
      </c>
      <c r="D24" s="10">
        <v>1</v>
      </c>
      <c r="E24" s="3">
        <f t="shared" si="2"/>
        <v>219375</v>
      </c>
      <c r="F24" s="10" t="s">
        <v>50</v>
      </c>
    </row>
    <row r="25" spans="1:7" ht="51">
      <c r="A25" s="10" t="s">
        <v>61</v>
      </c>
      <c r="B25" s="10" t="s">
        <v>62</v>
      </c>
      <c r="C25" s="3">
        <f t="shared" si="1"/>
        <v>301600</v>
      </c>
      <c r="D25" s="10">
        <v>1</v>
      </c>
      <c r="E25" s="3">
        <f t="shared" si="2"/>
        <v>301600</v>
      </c>
      <c r="F25" s="10" t="s">
        <v>50</v>
      </c>
    </row>
    <row r="26" spans="1:7" ht="51">
      <c r="A26" s="10" t="s">
        <v>63</v>
      </c>
      <c r="B26" s="10" t="s">
        <v>64</v>
      </c>
      <c r="C26" s="11">
        <f t="shared" si="1"/>
        <v>451099.99999999994</v>
      </c>
      <c r="D26" s="10">
        <v>1</v>
      </c>
      <c r="E26" s="3">
        <f t="shared" si="2"/>
        <v>451099.99999999994</v>
      </c>
      <c r="F26" s="10" t="s">
        <v>50</v>
      </c>
    </row>
    <row r="27" spans="1:7" ht="51">
      <c r="A27" s="10" t="s">
        <v>65</v>
      </c>
      <c r="B27" s="10" t="s">
        <v>66</v>
      </c>
      <c r="C27" s="3">
        <f t="shared" si="1"/>
        <v>765050</v>
      </c>
      <c r="D27" s="10">
        <v>1</v>
      </c>
      <c r="E27" s="3">
        <f t="shared" si="2"/>
        <v>765050</v>
      </c>
      <c r="F27" s="10" t="s">
        <v>50</v>
      </c>
    </row>
    <row r="28" spans="1:7" ht="51">
      <c r="A28" s="10" t="s">
        <v>67</v>
      </c>
      <c r="B28" s="10" t="s">
        <v>794</v>
      </c>
      <c r="C28" s="11">
        <f t="shared" si="1"/>
        <v>1228500</v>
      </c>
      <c r="D28" s="10">
        <v>1</v>
      </c>
      <c r="E28" s="3">
        <f t="shared" si="2"/>
        <v>1228500</v>
      </c>
      <c r="F28" s="10" t="s">
        <v>50</v>
      </c>
    </row>
    <row r="29" spans="1:7" ht="51">
      <c r="A29" s="10" t="s">
        <v>68</v>
      </c>
      <c r="B29" s="10" t="s">
        <v>795</v>
      </c>
      <c r="C29" s="3">
        <f t="shared" si="1"/>
        <v>1975999.9999999998</v>
      </c>
      <c r="D29" s="10">
        <v>1</v>
      </c>
      <c r="E29" s="3">
        <f t="shared" si="2"/>
        <v>1975999.9999999998</v>
      </c>
      <c r="F29" s="10" t="s">
        <v>50</v>
      </c>
    </row>
    <row r="30" spans="1:7" ht="51">
      <c r="A30" s="10" t="s">
        <v>69</v>
      </c>
      <c r="B30" s="10" t="s">
        <v>70</v>
      </c>
      <c r="C30" s="11">
        <f t="shared" si="1"/>
        <v>3769999.9999999995</v>
      </c>
      <c r="D30" s="10">
        <v>1</v>
      </c>
      <c r="E30" s="3">
        <f t="shared" si="2"/>
        <v>3769999.9999999995</v>
      </c>
      <c r="F30" s="10" t="s">
        <v>50</v>
      </c>
    </row>
    <row r="31" spans="1:7" ht="51">
      <c r="A31" s="16" t="s">
        <v>71</v>
      </c>
      <c r="B31" s="16" t="s">
        <v>72</v>
      </c>
      <c r="C31" s="3">
        <f t="shared" si="1"/>
        <v>5265000</v>
      </c>
      <c r="D31" s="10">
        <v>1</v>
      </c>
      <c r="E31" s="3">
        <f t="shared" si="2"/>
        <v>5265000</v>
      </c>
      <c r="F31" s="10" t="s">
        <v>50</v>
      </c>
    </row>
    <row r="32" spans="1:7" ht="15.75">
      <c r="A32" s="58" t="s">
        <v>73</v>
      </c>
      <c r="B32" s="59"/>
      <c r="C32" s="59"/>
      <c r="D32" s="59"/>
      <c r="E32" s="59"/>
      <c r="F32" s="60"/>
    </row>
    <row r="33" spans="1:6" ht="51">
      <c r="A33" s="18" t="s">
        <v>74</v>
      </c>
      <c r="B33" s="18" t="s">
        <v>75</v>
      </c>
      <c r="C33" s="11">
        <f t="shared" ref="C33:C41" si="3">C4*0.4</f>
        <v>7590</v>
      </c>
      <c r="D33" s="10">
        <v>1</v>
      </c>
      <c r="E33" s="3">
        <f t="shared" ref="E33" si="4">C33*D33</f>
        <v>7590</v>
      </c>
      <c r="F33" s="10" t="s">
        <v>76</v>
      </c>
    </row>
    <row r="34" spans="1:6" ht="51">
      <c r="A34" s="18" t="s">
        <v>77</v>
      </c>
      <c r="B34" s="18" t="s">
        <v>78</v>
      </c>
      <c r="C34" s="11">
        <f t="shared" si="3"/>
        <v>12650</v>
      </c>
      <c r="D34" s="10">
        <v>1</v>
      </c>
      <c r="E34" s="3">
        <f t="shared" ref="E34:E42" si="5">C34*D34</f>
        <v>12650</v>
      </c>
      <c r="F34" s="10" t="s">
        <v>76</v>
      </c>
    </row>
    <row r="35" spans="1:6" ht="51">
      <c r="A35" s="18" t="s">
        <v>79</v>
      </c>
      <c r="B35" s="18" t="s">
        <v>80</v>
      </c>
      <c r="C35" s="11">
        <f t="shared" si="3"/>
        <v>24840</v>
      </c>
      <c r="D35" s="10">
        <v>1</v>
      </c>
      <c r="E35" s="3">
        <f t="shared" si="5"/>
        <v>24840</v>
      </c>
      <c r="F35" s="10" t="s">
        <v>76</v>
      </c>
    </row>
    <row r="36" spans="1:6" ht="51">
      <c r="A36" s="18" t="s">
        <v>81</v>
      </c>
      <c r="B36" s="18" t="s">
        <v>82</v>
      </c>
      <c r="C36" s="11">
        <f t="shared" si="3"/>
        <v>35880</v>
      </c>
      <c r="D36" s="10">
        <v>1</v>
      </c>
      <c r="E36" s="3">
        <f t="shared" si="5"/>
        <v>35880</v>
      </c>
      <c r="F36" s="10" t="s">
        <v>76</v>
      </c>
    </row>
    <row r="37" spans="1:6" ht="51">
      <c r="A37" s="18" t="s">
        <v>83</v>
      </c>
      <c r="B37" s="18" t="s">
        <v>84</v>
      </c>
      <c r="C37" s="11">
        <f t="shared" si="3"/>
        <v>49680</v>
      </c>
      <c r="D37" s="10">
        <v>1</v>
      </c>
      <c r="E37" s="3">
        <f t="shared" si="5"/>
        <v>49680</v>
      </c>
      <c r="F37" s="10" t="s">
        <v>76</v>
      </c>
    </row>
    <row r="38" spans="1:6" ht="51">
      <c r="A38" s="18" t="s">
        <v>85</v>
      </c>
      <c r="B38" s="18" t="s">
        <v>86</v>
      </c>
      <c r="C38" s="11">
        <f t="shared" si="3"/>
        <v>74750</v>
      </c>
      <c r="D38" s="10">
        <v>1</v>
      </c>
      <c r="E38" s="3">
        <f t="shared" si="5"/>
        <v>74750</v>
      </c>
      <c r="F38" s="10" t="s">
        <v>76</v>
      </c>
    </row>
    <row r="39" spans="1:6" ht="51">
      <c r="A39" s="18" t="s">
        <v>87</v>
      </c>
      <c r="B39" s="18" t="s">
        <v>88</v>
      </c>
      <c r="C39" s="11">
        <f t="shared" si="3"/>
        <v>107640</v>
      </c>
      <c r="D39" s="10">
        <v>1</v>
      </c>
      <c r="E39" s="3">
        <f t="shared" si="5"/>
        <v>107640</v>
      </c>
      <c r="F39" s="10" t="s">
        <v>76</v>
      </c>
    </row>
    <row r="40" spans="1:6" ht="51">
      <c r="A40" s="18" t="s">
        <v>89</v>
      </c>
      <c r="B40" s="18" t="s">
        <v>90</v>
      </c>
      <c r="C40" s="11">
        <f t="shared" si="3"/>
        <v>167440</v>
      </c>
      <c r="D40" s="10">
        <v>1</v>
      </c>
      <c r="E40" s="3">
        <f t="shared" si="5"/>
        <v>167440</v>
      </c>
      <c r="F40" s="10" t="s">
        <v>76</v>
      </c>
    </row>
    <row r="41" spans="1:6" ht="51">
      <c r="A41" s="18" t="s">
        <v>91</v>
      </c>
      <c r="B41" s="18" t="s">
        <v>92</v>
      </c>
      <c r="C41" s="11">
        <f t="shared" si="3"/>
        <v>293020</v>
      </c>
      <c r="D41" s="10">
        <v>1</v>
      </c>
      <c r="E41" s="3">
        <f t="shared" si="5"/>
        <v>293020</v>
      </c>
      <c r="F41" s="10" t="s">
        <v>76</v>
      </c>
    </row>
    <row r="42" spans="1:6" ht="51">
      <c r="A42" s="18" t="s">
        <v>93</v>
      </c>
      <c r="B42" s="18" t="s">
        <v>94</v>
      </c>
      <c r="C42" s="11">
        <f>C16*0.4</f>
        <v>2093000</v>
      </c>
      <c r="D42" s="10">
        <v>1</v>
      </c>
      <c r="E42" s="3">
        <f t="shared" si="5"/>
        <v>2093000</v>
      </c>
      <c r="F42" s="10" t="s">
        <v>76</v>
      </c>
    </row>
    <row r="43" spans="1:6" ht="15.75">
      <c r="A43" s="58" t="s">
        <v>95</v>
      </c>
      <c r="B43" s="59"/>
      <c r="C43" s="59"/>
      <c r="D43" s="59"/>
      <c r="E43" s="59"/>
      <c r="F43" s="60"/>
    </row>
    <row r="44" spans="1:6" ht="25.5">
      <c r="A44" s="18" t="s">
        <v>96</v>
      </c>
      <c r="B44" s="18" t="s">
        <v>75</v>
      </c>
      <c r="C44" s="11">
        <f t="shared" ref="C44:C56" si="6">C4*0.2</f>
        <v>3795</v>
      </c>
      <c r="D44" s="10">
        <v>1</v>
      </c>
      <c r="E44" s="3">
        <f t="shared" ref="E44:E46" si="7">C44*D44</f>
        <v>3795</v>
      </c>
      <c r="F44" s="10" t="s">
        <v>97</v>
      </c>
    </row>
    <row r="45" spans="1:6" ht="25.5">
      <c r="A45" s="18" t="s">
        <v>98</v>
      </c>
      <c r="B45" s="18" t="s">
        <v>78</v>
      </c>
      <c r="C45" s="11">
        <f t="shared" si="6"/>
        <v>6325</v>
      </c>
      <c r="D45" s="10">
        <v>1</v>
      </c>
      <c r="E45" s="3">
        <f t="shared" si="7"/>
        <v>6325</v>
      </c>
      <c r="F45" s="10" t="s">
        <v>97</v>
      </c>
    </row>
    <row r="46" spans="1:6" ht="25.5">
      <c r="A46" s="18" t="s">
        <v>99</v>
      </c>
      <c r="B46" s="18" t="s">
        <v>80</v>
      </c>
      <c r="C46" s="11">
        <f t="shared" si="6"/>
        <v>12420</v>
      </c>
      <c r="D46" s="10">
        <v>1</v>
      </c>
      <c r="E46" s="3">
        <f t="shared" si="7"/>
        <v>12420</v>
      </c>
      <c r="F46" s="10" t="s">
        <v>97</v>
      </c>
    </row>
    <row r="47" spans="1:6" ht="25.5">
      <c r="A47" s="18" t="s">
        <v>100</v>
      </c>
      <c r="B47" s="18" t="s">
        <v>82</v>
      </c>
      <c r="C47" s="11">
        <f t="shared" si="6"/>
        <v>17940</v>
      </c>
      <c r="D47" s="10">
        <v>1</v>
      </c>
      <c r="E47" s="3">
        <f t="shared" ref="E47:E56" si="8">C47*D47</f>
        <v>17940</v>
      </c>
      <c r="F47" s="10" t="s">
        <v>97</v>
      </c>
    </row>
    <row r="48" spans="1:6" ht="25.5">
      <c r="A48" s="18" t="s">
        <v>101</v>
      </c>
      <c r="B48" s="18" t="s">
        <v>84</v>
      </c>
      <c r="C48" s="11">
        <f t="shared" si="6"/>
        <v>24840</v>
      </c>
      <c r="D48" s="10">
        <v>1</v>
      </c>
      <c r="E48" s="3">
        <f t="shared" si="8"/>
        <v>24840</v>
      </c>
      <c r="F48" s="10" t="s">
        <v>97</v>
      </c>
    </row>
    <row r="49" spans="1:6" ht="25.5">
      <c r="A49" s="18" t="s">
        <v>102</v>
      </c>
      <c r="B49" s="18" t="s">
        <v>86</v>
      </c>
      <c r="C49" s="11">
        <f t="shared" si="6"/>
        <v>37375</v>
      </c>
      <c r="D49" s="10">
        <v>1</v>
      </c>
      <c r="E49" s="3">
        <f t="shared" si="8"/>
        <v>37375</v>
      </c>
      <c r="F49" s="10" t="s">
        <v>97</v>
      </c>
    </row>
    <row r="50" spans="1:6" ht="25.5">
      <c r="A50" s="18" t="s">
        <v>103</v>
      </c>
      <c r="B50" s="18" t="s">
        <v>88</v>
      </c>
      <c r="C50" s="11">
        <f t="shared" si="6"/>
        <v>53820</v>
      </c>
      <c r="D50" s="10">
        <v>1</v>
      </c>
      <c r="E50" s="3">
        <f t="shared" si="8"/>
        <v>53820</v>
      </c>
      <c r="F50" s="10" t="s">
        <v>97</v>
      </c>
    </row>
    <row r="51" spans="1:6" ht="25.5">
      <c r="A51" s="18" t="s">
        <v>104</v>
      </c>
      <c r="B51" s="18" t="s">
        <v>90</v>
      </c>
      <c r="C51" s="11">
        <f t="shared" si="6"/>
        <v>83720</v>
      </c>
      <c r="D51" s="10">
        <v>1</v>
      </c>
      <c r="E51" s="3">
        <f t="shared" si="8"/>
        <v>83720</v>
      </c>
      <c r="F51" s="10" t="s">
        <v>97</v>
      </c>
    </row>
    <row r="52" spans="1:6" ht="25.5">
      <c r="A52" s="18" t="s">
        <v>105</v>
      </c>
      <c r="B52" s="18" t="s">
        <v>92</v>
      </c>
      <c r="C52" s="11">
        <f t="shared" si="6"/>
        <v>146510</v>
      </c>
      <c r="D52" s="10">
        <v>1</v>
      </c>
      <c r="E52" s="3">
        <f t="shared" si="8"/>
        <v>146510</v>
      </c>
      <c r="F52" s="10" t="s">
        <v>97</v>
      </c>
    </row>
    <row r="53" spans="1:6" ht="25.5">
      <c r="A53" s="18" t="s">
        <v>106</v>
      </c>
      <c r="B53" s="18" t="s">
        <v>796</v>
      </c>
      <c r="C53" s="11">
        <f t="shared" si="6"/>
        <v>239200</v>
      </c>
      <c r="D53" s="10">
        <v>1</v>
      </c>
      <c r="E53" s="3">
        <f t="shared" si="8"/>
        <v>239200</v>
      </c>
      <c r="F53" s="10" t="s">
        <v>97</v>
      </c>
    </row>
    <row r="54" spans="1:6" ht="25.5">
      <c r="A54" s="18" t="s">
        <v>107</v>
      </c>
      <c r="B54" s="18" t="s">
        <v>797</v>
      </c>
      <c r="C54" s="11">
        <f t="shared" si="6"/>
        <v>388700</v>
      </c>
      <c r="D54" s="10">
        <v>1</v>
      </c>
      <c r="E54" s="3">
        <f t="shared" si="8"/>
        <v>388700</v>
      </c>
      <c r="F54" s="10" t="s">
        <v>97</v>
      </c>
    </row>
    <row r="55" spans="1:6" ht="25.5">
      <c r="A55" s="18" t="s">
        <v>108</v>
      </c>
      <c r="B55" s="18" t="s">
        <v>109</v>
      </c>
      <c r="C55" s="11">
        <f t="shared" si="6"/>
        <v>747500</v>
      </c>
      <c r="D55" s="10">
        <v>1</v>
      </c>
      <c r="E55" s="3">
        <f t="shared" si="8"/>
        <v>747500</v>
      </c>
      <c r="F55" s="10" t="s">
        <v>97</v>
      </c>
    </row>
    <row r="56" spans="1:6" ht="38.25">
      <c r="A56" s="18" t="s">
        <v>110</v>
      </c>
      <c r="B56" s="18" t="s">
        <v>111</v>
      </c>
      <c r="C56" s="11">
        <f t="shared" si="6"/>
        <v>1046500</v>
      </c>
      <c r="D56" s="10">
        <v>1</v>
      </c>
      <c r="E56" s="3">
        <f t="shared" si="8"/>
        <v>1046500</v>
      </c>
      <c r="F56" s="10" t="s">
        <v>97</v>
      </c>
    </row>
    <row r="57" spans="1:6">
      <c r="A57" s="61" t="s">
        <v>112</v>
      </c>
      <c r="B57" s="62"/>
      <c r="C57" s="62"/>
      <c r="D57" s="62"/>
      <c r="E57" s="62"/>
      <c r="F57" s="63"/>
    </row>
    <row r="58" spans="1:6" ht="25.5">
      <c r="A58" s="18" t="s">
        <v>113</v>
      </c>
      <c r="B58" s="18" t="s">
        <v>114</v>
      </c>
      <c r="C58" s="11">
        <f>3000*1.2</f>
        <v>3600</v>
      </c>
      <c r="D58" s="10">
        <v>1</v>
      </c>
      <c r="E58" s="3">
        <f t="shared" ref="E58:E59" si="9">C58*D58</f>
        <v>3600</v>
      </c>
      <c r="F58" s="10" t="s">
        <v>115</v>
      </c>
    </row>
    <row r="59" spans="1:6" ht="25.5">
      <c r="A59" s="18" t="s">
        <v>116</v>
      </c>
      <c r="B59" s="18" t="s">
        <v>117</v>
      </c>
      <c r="C59" s="11">
        <f>2400*1.2</f>
        <v>2880</v>
      </c>
      <c r="D59" s="10">
        <v>1</v>
      </c>
      <c r="E59" s="3">
        <f t="shared" si="9"/>
        <v>2880</v>
      </c>
      <c r="F59" s="10" t="s">
        <v>115</v>
      </c>
    </row>
    <row r="60" spans="1:6" ht="25.5">
      <c r="A60" s="18" t="s">
        <v>118</v>
      </c>
      <c r="B60" s="18" t="s">
        <v>119</v>
      </c>
      <c r="C60" s="11">
        <f>1800*1.2</f>
        <v>2160</v>
      </c>
      <c r="D60" s="10">
        <v>1</v>
      </c>
      <c r="E60" s="3">
        <f t="shared" ref="E60:E61" si="10">C60*D60</f>
        <v>2160</v>
      </c>
      <c r="F60" s="10" t="s">
        <v>115</v>
      </c>
    </row>
    <row r="61" spans="1:6" ht="25.5">
      <c r="A61" s="18" t="s">
        <v>120</v>
      </c>
      <c r="B61" s="18" t="s">
        <v>121</v>
      </c>
      <c r="C61" s="28">
        <f>1200*1.2</f>
        <v>1440</v>
      </c>
      <c r="D61" s="10">
        <v>1</v>
      </c>
      <c r="E61" s="3">
        <f t="shared" si="10"/>
        <v>1440</v>
      </c>
      <c r="F61" s="10" t="s">
        <v>115</v>
      </c>
    </row>
    <row r="62" spans="1:6">
      <c r="A62" s="61" t="s">
        <v>17</v>
      </c>
      <c r="B62" s="62"/>
      <c r="C62" s="62"/>
      <c r="D62" s="62"/>
      <c r="E62" s="62"/>
      <c r="F62" s="63"/>
    </row>
    <row r="63" spans="1:6">
      <c r="A63" s="61" t="s">
        <v>15</v>
      </c>
      <c r="B63" s="62"/>
      <c r="C63" s="62"/>
      <c r="D63" s="62"/>
      <c r="E63" s="62"/>
      <c r="F63" s="63"/>
    </row>
    <row r="64" spans="1:6" ht="51">
      <c r="A64" s="18" t="s">
        <v>122</v>
      </c>
      <c r="B64" s="18" t="s">
        <v>123</v>
      </c>
      <c r="C64" s="11">
        <f t="shared" ref="C64:C76" si="11">C4*0.4</f>
        <v>7590</v>
      </c>
      <c r="D64" s="10">
        <v>1</v>
      </c>
      <c r="E64" s="3">
        <f t="shared" ref="E64:E67" si="12">C64*D64</f>
        <v>7590</v>
      </c>
      <c r="F64" s="10" t="s">
        <v>124</v>
      </c>
    </row>
    <row r="65" spans="1:6" ht="51">
      <c r="A65" s="18" t="s">
        <v>125</v>
      </c>
      <c r="B65" s="18" t="s">
        <v>798</v>
      </c>
      <c r="C65" s="11">
        <f t="shared" si="11"/>
        <v>12650</v>
      </c>
      <c r="D65" s="10">
        <v>1</v>
      </c>
      <c r="E65" s="3">
        <f t="shared" si="12"/>
        <v>12650</v>
      </c>
      <c r="F65" s="10" t="s">
        <v>124</v>
      </c>
    </row>
    <row r="66" spans="1:6" ht="51">
      <c r="A66" s="18" t="s">
        <v>126</v>
      </c>
      <c r="B66" s="18" t="s">
        <v>127</v>
      </c>
      <c r="C66" s="11">
        <f t="shared" si="11"/>
        <v>24840</v>
      </c>
      <c r="D66" s="10">
        <v>1</v>
      </c>
      <c r="E66" s="3">
        <f t="shared" si="12"/>
        <v>24840</v>
      </c>
      <c r="F66" s="10" t="s">
        <v>124</v>
      </c>
    </row>
    <row r="67" spans="1:6" ht="51">
      <c r="A67" s="18" t="s">
        <v>128</v>
      </c>
      <c r="B67" s="18" t="s">
        <v>129</v>
      </c>
      <c r="C67" s="11">
        <f t="shared" si="11"/>
        <v>35880</v>
      </c>
      <c r="D67" s="10">
        <v>1</v>
      </c>
      <c r="E67" s="3">
        <f t="shared" si="12"/>
        <v>35880</v>
      </c>
      <c r="F67" s="10" t="s">
        <v>124</v>
      </c>
    </row>
    <row r="68" spans="1:6" ht="51">
      <c r="A68" s="18" t="s">
        <v>130</v>
      </c>
      <c r="B68" s="18" t="s">
        <v>131</v>
      </c>
      <c r="C68" s="11">
        <f t="shared" si="11"/>
        <v>49680</v>
      </c>
      <c r="D68" s="10">
        <v>1</v>
      </c>
      <c r="E68" s="3">
        <f t="shared" ref="E68:E76" si="13">C68*D68</f>
        <v>49680</v>
      </c>
      <c r="F68" s="10" t="s">
        <v>124</v>
      </c>
    </row>
    <row r="69" spans="1:6" ht="51">
      <c r="A69" s="18" t="s">
        <v>132</v>
      </c>
      <c r="B69" s="18" t="s">
        <v>133</v>
      </c>
      <c r="C69" s="11">
        <f t="shared" si="11"/>
        <v>74750</v>
      </c>
      <c r="D69" s="10">
        <v>1</v>
      </c>
      <c r="E69" s="3">
        <f t="shared" si="13"/>
        <v>74750</v>
      </c>
      <c r="F69" s="10" t="s">
        <v>124</v>
      </c>
    </row>
    <row r="70" spans="1:6" ht="51">
      <c r="A70" s="18" t="s">
        <v>134</v>
      </c>
      <c r="B70" s="18" t="s">
        <v>135</v>
      </c>
      <c r="C70" s="11">
        <f t="shared" si="11"/>
        <v>107640</v>
      </c>
      <c r="D70" s="10">
        <v>1</v>
      </c>
      <c r="E70" s="3">
        <f t="shared" si="13"/>
        <v>107640</v>
      </c>
      <c r="F70" s="10" t="s">
        <v>124</v>
      </c>
    </row>
    <row r="71" spans="1:6" ht="51">
      <c r="A71" s="18" t="s">
        <v>136</v>
      </c>
      <c r="B71" s="18" t="s">
        <v>137</v>
      </c>
      <c r="C71" s="11">
        <f t="shared" si="11"/>
        <v>167440</v>
      </c>
      <c r="D71" s="10">
        <v>1</v>
      </c>
      <c r="E71" s="3">
        <f t="shared" si="13"/>
        <v>167440</v>
      </c>
      <c r="F71" s="10" t="s">
        <v>124</v>
      </c>
    </row>
    <row r="72" spans="1:6" ht="51">
      <c r="A72" s="18" t="s">
        <v>138</v>
      </c>
      <c r="B72" s="18" t="s">
        <v>139</v>
      </c>
      <c r="C72" s="11">
        <f t="shared" si="11"/>
        <v>293020</v>
      </c>
      <c r="D72" s="10">
        <v>1</v>
      </c>
      <c r="E72" s="3">
        <f t="shared" si="13"/>
        <v>293020</v>
      </c>
      <c r="F72" s="10" t="s">
        <v>124</v>
      </c>
    </row>
    <row r="73" spans="1:6" ht="51">
      <c r="A73" s="18" t="s">
        <v>140</v>
      </c>
      <c r="B73" s="18" t="s">
        <v>799</v>
      </c>
      <c r="C73" s="11">
        <f t="shared" si="11"/>
        <v>478400</v>
      </c>
      <c r="D73" s="10">
        <v>1</v>
      </c>
      <c r="E73" s="3">
        <f t="shared" si="13"/>
        <v>478400</v>
      </c>
      <c r="F73" s="10" t="s">
        <v>124</v>
      </c>
    </row>
    <row r="74" spans="1:6" ht="51">
      <c r="A74" s="18" t="s">
        <v>141</v>
      </c>
      <c r="B74" s="18" t="s">
        <v>800</v>
      </c>
      <c r="C74" s="11">
        <f t="shared" si="11"/>
        <v>777400</v>
      </c>
      <c r="D74" s="10">
        <v>1</v>
      </c>
      <c r="E74" s="3">
        <f t="shared" si="13"/>
        <v>777400</v>
      </c>
      <c r="F74" s="10" t="s">
        <v>124</v>
      </c>
    </row>
    <row r="75" spans="1:6" ht="51">
      <c r="A75" s="18" t="s">
        <v>142</v>
      </c>
      <c r="B75" s="18" t="s">
        <v>143</v>
      </c>
      <c r="C75" s="11">
        <f t="shared" si="11"/>
        <v>1495000</v>
      </c>
      <c r="D75" s="10">
        <v>1</v>
      </c>
      <c r="E75" s="3">
        <f t="shared" si="13"/>
        <v>1495000</v>
      </c>
      <c r="F75" s="10" t="s">
        <v>124</v>
      </c>
    </row>
    <row r="76" spans="1:6" ht="51">
      <c r="A76" s="19" t="s">
        <v>144</v>
      </c>
      <c r="B76" s="19" t="s">
        <v>145</v>
      </c>
      <c r="C76" s="11">
        <f t="shared" si="11"/>
        <v>2093000</v>
      </c>
      <c r="D76" s="10">
        <v>1</v>
      </c>
      <c r="E76" s="3">
        <f t="shared" si="13"/>
        <v>2093000</v>
      </c>
      <c r="F76" s="10" t="s">
        <v>124</v>
      </c>
    </row>
    <row r="77" spans="1:6">
      <c r="A77" s="61" t="s">
        <v>146</v>
      </c>
      <c r="B77" s="62"/>
      <c r="C77" s="62"/>
      <c r="D77" s="62"/>
      <c r="E77" s="62"/>
      <c r="F77" s="63"/>
    </row>
    <row r="78" spans="1:6" ht="25.5">
      <c r="A78" s="18" t="s">
        <v>147</v>
      </c>
      <c r="B78" s="18" t="s">
        <v>148</v>
      </c>
      <c r="C78" s="11">
        <f>C58*0.4</f>
        <v>1440</v>
      </c>
      <c r="D78" s="10">
        <v>1</v>
      </c>
      <c r="E78" s="3">
        <f t="shared" ref="E78:E79" si="14">C78*D78</f>
        <v>1440</v>
      </c>
      <c r="F78" s="10" t="s">
        <v>149</v>
      </c>
    </row>
    <row r="79" spans="1:6" ht="25.5">
      <c r="A79" s="18" t="s">
        <v>150</v>
      </c>
      <c r="B79" s="18" t="s">
        <v>151</v>
      </c>
      <c r="C79" s="11">
        <f>C59*0.4</f>
        <v>1152</v>
      </c>
      <c r="D79" s="10">
        <v>1</v>
      </c>
      <c r="E79" s="3">
        <f t="shared" si="14"/>
        <v>1152</v>
      </c>
      <c r="F79" s="10" t="s">
        <v>149</v>
      </c>
    </row>
    <row r="80" spans="1:6" ht="25.5">
      <c r="A80" s="18" t="s">
        <v>152</v>
      </c>
      <c r="B80" s="18" t="s">
        <v>153</v>
      </c>
      <c r="C80" s="11">
        <f>C60*0.4</f>
        <v>864</v>
      </c>
      <c r="D80" s="10">
        <v>1</v>
      </c>
      <c r="E80" s="3">
        <f t="shared" ref="E80:E81" si="15">C80*D80</f>
        <v>864</v>
      </c>
      <c r="F80" s="10" t="s">
        <v>149</v>
      </c>
    </row>
    <row r="81" spans="1:6" ht="25.5">
      <c r="A81" s="18" t="s">
        <v>154</v>
      </c>
      <c r="B81" s="18" t="s">
        <v>155</v>
      </c>
      <c r="C81" s="11">
        <f>C61*0.4</f>
        <v>576</v>
      </c>
      <c r="D81" s="10">
        <v>1</v>
      </c>
      <c r="E81" s="3">
        <f t="shared" si="15"/>
        <v>576</v>
      </c>
      <c r="F81" s="10" t="s">
        <v>149</v>
      </c>
    </row>
    <row r="82" spans="1:6">
      <c r="A82" s="61" t="s">
        <v>156</v>
      </c>
      <c r="B82" s="62"/>
      <c r="C82" s="62"/>
      <c r="D82" s="62"/>
      <c r="E82" s="62"/>
      <c r="F82" s="63"/>
    </row>
    <row r="83" spans="1:6">
      <c r="A83" s="61" t="s">
        <v>15</v>
      </c>
      <c r="B83" s="62"/>
      <c r="C83" s="62"/>
      <c r="D83" s="62"/>
      <c r="E83" s="62"/>
      <c r="F83" s="63"/>
    </row>
    <row r="84" spans="1:6" ht="38.25">
      <c r="A84" s="10" t="s">
        <v>157</v>
      </c>
      <c r="B84" s="10" t="s">
        <v>158</v>
      </c>
      <c r="C84" s="11">
        <f t="shared" ref="C84:C96" si="16">ROUNDUP(C4/2,0.1)</f>
        <v>9488</v>
      </c>
      <c r="D84" s="10">
        <v>1</v>
      </c>
      <c r="E84" s="3">
        <f t="shared" ref="E84:E87" si="17">C84*D84</f>
        <v>9488</v>
      </c>
      <c r="F84" s="10" t="s">
        <v>159</v>
      </c>
    </row>
    <row r="85" spans="1:6" ht="38.25">
      <c r="A85" s="10" t="s">
        <v>160</v>
      </c>
      <c r="B85" s="10" t="s">
        <v>161</v>
      </c>
      <c r="C85" s="11">
        <f t="shared" si="16"/>
        <v>15813</v>
      </c>
      <c r="D85" s="10">
        <v>1</v>
      </c>
      <c r="E85" s="3">
        <f t="shared" si="17"/>
        <v>15813</v>
      </c>
      <c r="F85" s="10" t="s">
        <v>159</v>
      </c>
    </row>
    <row r="86" spans="1:6" ht="38.25">
      <c r="A86" s="10" t="s">
        <v>162</v>
      </c>
      <c r="B86" s="10" t="s">
        <v>163</v>
      </c>
      <c r="C86" s="11">
        <f t="shared" si="16"/>
        <v>31050</v>
      </c>
      <c r="D86" s="10">
        <v>1</v>
      </c>
      <c r="E86" s="3">
        <f t="shared" si="17"/>
        <v>31050</v>
      </c>
      <c r="F86" s="10" t="s">
        <v>159</v>
      </c>
    </row>
    <row r="87" spans="1:6" ht="38.25">
      <c r="A87" s="10" t="s">
        <v>164</v>
      </c>
      <c r="B87" s="10" t="s">
        <v>165</v>
      </c>
      <c r="C87" s="11">
        <f t="shared" si="16"/>
        <v>44850</v>
      </c>
      <c r="D87" s="10">
        <v>1</v>
      </c>
      <c r="E87" s="3">
        <f t="shared" si="17"/>
        <v>44850</v>
      </c>
      <c r="F87" s="10" t="s">
        <v>159</v>
      </c>
    </row>
    <row r="88" spans="1:6" ht="38.25">
      <c r="A88" s="10" t="s">
        <v>166</v>
      </c>
      <c r="B88" s="10" t="s">
        <v>167</v>
      </c>
      <c r="C88" s="11">
        <f t="shared" si="16"/>
        <v>62100</v>
      </c>
      <c r="D88" s="10">
        <v>1</v>
      </c>
      <c r="E88" s="3">
        <f t="shared" ref="E88:E96" si="18">C88*D88</f>
        <v>62100</v>
      </c>
      <c r="F88" s="10" t="s">
        <v>159</v>
      </c>
    </row>
    <row r="89" spans="1:6" ht="38.25">
      <c r="A89" s="10" t="s">
        <v>168</v>
      </c>
      <c r="B89" s="10" t="s">
        <v>169</v>
      </c>
      <c r="C89" s="11">
        <f t="shared" si="16"/>
        <v>93438</v>
      </c>
      <c r="D89" s="10">
        <v>1</v>
      </c>
      <c r="E89" s="3">
        <f t="shared" si="18"/>
        <v>93438</v>
      </c>
      <c r="F89" s="10" t="s">
        <v>159</v>
      </c>
    </row>
    <row r="90" spans="1:6" ht="38.25">
      <c r="A90" s="10" t="s">
        <v>170</v>
      </c>
      <c r="B90" s="10" t="s">
        <v>171</v>
      </c>
      <c r="C90" s="11">
        <f t="shared" si="16"/>
        <v>134550</v>
      </c>
      <c r="D90" s="10">
        <v>1</v>
      </c>
      <c r="E90" s="3">
        <f t="shared" si="18"/>
        <v>134550</v>
      </c>
      <c r="F90" s="10" t="s">
        <v>159</v>
      </c>
    </row>
    <row r="91" spans="1:6" ht="38.25">
      <c r="A91" s="10" t="s">
        <v>172</v>
      </c>
      <c r="B91" s="10" t="s">
        <v>173</v>
      </c>
      <c r="C91" s="11">
        <f t="shared" si="16"/>
        <v>209300</v>
      </c>
      <c r="D91" s="10">
        <v>1</v>
      </c>
      <c r="E91" s="3">
        <f t="shared" si="18"/>
        <v>209300</v>
      </c>
      <c r="F91" s="10" t="s">
        <v>159</v>
      </c>
    </row>
    <row r="92" spans="1:6" ht="38.25">
      <c r="A92" s="10" t="s">
        <v>174</v>
      </c>
      <c r="B92" s="10" t="s">
        <v>175</v>
      </c>
      <c r="C92" s="11">
        <f t="shared" si="16"/>
        <v>366275</v>
      </c>
      <c r="D92" s="10">
        <v>1</v>
      </c>
      <c r="E92" s="3">
        <f t="shared" si="18"/>
        <v>366275</v>
      </c>
      <c r="F92" s="10" t="s">
        <v>159</v>
      </c>
    </row>
    <row r="93" spans="1:6" ht="38.25">
      <c r="A93" s="10" t="s">
        <v>176</v>
      </c>
      <c r="B93" s="10" t="s">
        <v>791</v>
      </c>
      <c r="C93" s="11">
        <f t="shared" si="16"/>
        <v>598000</v>
      </c>
      <c r="D93" s="10">
        <v>1</v>
      </c>
      <c r="E93" s="3">
        <f t="shared" si="18"/>
        <v>598000</v>
      </c>
      <c r="F93" s="10" t="s">
        <v>23</v>
      </c>
    </row>
    <row r="94" spans="1:6" ht="38.25">
      <c r="A94" s="10" t="s">
        <v>177</v>
      </c>
      <c r="B94" s="10" t="s">
        <v>792</v>
      </c>
      <c r="C94" s="11">
        <f t="shared" si="16"/>
        <v>971750</v>
      </c>
      <c r="D94" s="10">
        <v>1</v>
      </c>
      <c r="E94" s="3">
        <f t="shared" si="18"/>
        <v>971750</v>
      </c>
      <c r="F94" s="10" t="s">
        <v>23</v>
      </c>
    </row>
    <row r="95" spans="1:6" ht="38.25">
      <c r="A95" s="10" t="s">
        <v>178</v>
      </c>
      <c r="B95" s="10" t="s">
        <v>44</v>
      </c>
      <c r="C95" s="11">
        <f t="shared" si="16"/>
        <v>1868750</v>
      </c>
      <c r="D95" s="10">
        <v>1</v>
      </c>
      <c r="E95" s="3">
        <f t="shared" si="18"/>
        <v>1868750</v>
      </c>
      <c r="F95" s="10" t="s">
        <v>23</v>
      </c>
    </row>
    <row r="96" spans="1:6" ht="38.25">
      <c r="A96" s="10" t="s">
        <v>179</v>
      </c>
      <c r="B96" s="10" t="s">
        <v>46</v>
      </c>
      <c r="C96" s="11">
        <f t="shared" si="16"/>
        <v>2616250</v>
      </c>
      <c r="D96" s="10">
        <v>1</v>
      </c>
      <c r="E96" s="3">
        <f t="shared" si="18"/>
        <v>2616250</v>
      </c>
      <c r="F96" s="10" t="s">
        <v>23</v>
      </c>
    </row>
    <row r="97" spans="1:2" ht="21.75">
      <c r="A97" s="27" t="s">
        <v>180</v>
      </c>
      <c r="B97" s="22"/>
    </row>
    <row r="98" spans="1:2" ht="120">
      <c r="A98" s="26" t="s">
        <v>181</v>
      </c>
      <c r="B98" s="25" t="s">
        <v>182</v>
      </c>
    </row>
    <row r="99" spans="1:2" ht="135">
      <c r="A99" s="24" t="s">
        <v>183</v>
      </c>
      <c r="B99" s="25" t="s">
        <v>184</v>
      </c>
    </row>
    <row r="100" spans="1:2" ht="45">
      <c r="A100" s="24" t="s">
        <v>185</v>
      </c>
      <c r="B100" s="25" t="s">
        <v>186</v>
      </c>
    </row>
    <row r="101" spans="1:2">
      <c r="A101" s="24" t="s">
        <v>187</v>
      </c>
      <c r="B101" s="23" t="s">
        <v>188</v>
      </c>
    </row>
    <row r="102" spans="1:2">
      <c r="A102" s="22" t="s">
        <v>189</v>
      </c>
      <c r="B102" s="22" t="s">
        <v>190</v>
      </c>
    </row>
    <row r="103" spans="1:2">
      <c r="A103" s="22" t="s">
        <v>191</v>
      </c>
      <c r="B103" s="22"/>
    </row>
  </sheetData>
  <mergeCells count="12">
    <mergeCell ref="A83:F83"/>
    <mergeCell ref="A32:F32"/>
    <mergeCell ref="A57:F57"/>
    <mergeCell ref="A62:F62"/>
    <mergeCell ref="A63:F63"/>
    <mergeCell ref="A77:F77"/>
    <mergeCell ref="A82:F82"/>
    <mergeCell ref="A17:F17"/>
    <mergeCell ref="A1:F1"/>
    <mergeCell ref="A43:F43"/>
    <mergeCell ref="A3:F3"/>
    <mergeCell ref="A18:F18"/>
  </mergeCells>
  <hyperlinks>
    <hyperlink ref="B101" r:id="rId1" xr:uid="{00000000-0004-0000-03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H86"/>
  <sheetViews>
    <sheetView zoomScale="90" zoomScaleNormal="90" workbookViewId="0">
      <selection activeCell="G2" sqref="G1:J1048576"/>
    </sheetView>
  </sheetViews>
  <sheetFormatPr defaultColWidth="8.7109375" defaultRowHeight="15"/>
  <cols>
    <col min="1" max="1" width="31.28515625" customWidth="1"/>
    <col min="2" max="2" width="69.7109375" customWidth="1"/>
    <col min="3" max="5" width="14.42578125" customWidth="1"/>
    <col min="6" max="6" width="62.7109375" customWidth="1"/>
    <col min="7" max="7" width="10.42578125" customWidth="1"/>
    <col min="8" max="8" width="9.28515625" customWidth="1"/>
  </cols>
  <sheetData>
    <row r="1" spans="1:8" ht="17.25">
      <c r="A1" s="64" t="s">
        <v>192</v>
      </c>
      <c r="B1" s="57"/>
      <c r="C1" s="57"/>
      <c r="D1" s="57"/>
      <c r="E1" s="57"/>
      <c r="F1" s="57"/>
    </row>
    <row r="2" spans="1:8">
      <c r="A2" s="8" t="s">
        <v>11</v>
      </c>
      <c r="B2" s="8" t="s">
        <v>12</v>
      </c>
      <c r="C2" s="8" t="s">
        <v>18</v>
      </c>
      <c r="D2" s="8" t="s">
        <v>19</v>
      </c>
      <c r="E2" s="8" t="s">
        <v>20</v>
      </c>
      <c r="F2" s="8" t="s">
        <v>14</v>
      </c>
    </row>
    <row r="3" spans="1:8" ht="15.75">
      <c r="A3" s="54" t="s">
        <v>15</v>
      </c>
      <c r="B3" s="55"/>
      <c r="C3" s="55"/>
      <c r="D3" s="55"/>
      <c r="E3" s="55"/>
      <c r="F3" s="56"/>
    </row>
    <row r="4" spans="1:8" ht="51">
      <c r="A4" s="10" t="s">
        <v>193</v>
      </c>
      <c r="B4" s="10" t="s">
        <v>815</v>
      </c>
      <c r="C4" s="3">
        <f>7000*1.1</f>
        <v>7700.0000000000009</v>
      </c>
      <c r="D4" s="10">
        <v>1</v>
      </c>
      <c r="E4" s="3">
        <f>C4*D4</f>
        <v>7700.0000000000009</v>
      </c>
      <c r="F4" s="10" t="s">
        <v>194</v>
      </c>
      <c r="H4" s="21"/>
    </row>
    <row r="5" spans="1:8" ht="51">
      <c r="A5" s="10" t="s">
        <v>195</v>
      </c>
      <c r="B5" s="10" t="s">
        <v>816</v>
      </c>
      <c r="C5" s="3">
        <f>16500*1.15</f>
        <v>18975</v>
      </c>
      <c r="D5" s="10">
        <v>1</v>
      </c>
      <c r="E5" s="3">
        <f t="shared" ref="E5:E17" si="0">C5*D5</f>
        <v>18975</v>
      </c>
      <c r="F5" s="10" t="s">
        <v>196</v>
      </c>
    </row>
    <row r="6" spans="1:8" ht="49.5">
      <c r="A6" s="10" t="s">
        <v>197</v>
      </c>
      <c r="B6" s="10" t="s">
        <v>817</v>
      </c>
      <c r="C6" s="3">
        <f>27500*1.15</f>
        <v>31624.999999999996</v>
      </c>
      <c r="D6" s="10">
        <v>1</v>
      </c>
      <c r="E6" s="3">
        <f t="shared" si="0"/>
        <v>31624.999999999996</v>
      </c>
      <c r="F6" s="10" t="s">
        <v>198</v>
      </c>
    </row>
    <row r="7" spans="1:8" ht="49.5">
      <c r="A7" s="10" t="s">
        <v>199</v>
      </c>
      <c r="B7" s="10" t="s">
        <v>818</v>
      </c>
      <c r="C7" s="3">
        <f>54000*1.15</f>
        <v>62099.999999999993</v>
      </c>
      <c r="D7" s="10">
        <v>1</v>
      </c>
      <c r="E7" s="3">
        <f t="shared" si="0"/>
        <v>62099.999999999993</v>
      </c>
      <c r="F7" s="10" t="s">
        <v>198</v>
      </c>
    </row>
    <row r="8" spans="1:8" ht="49.5">
      <c r="A8" s="10" t="s">
        <v>200</v>
      </c>
      <c r="B8" s="10" t="s">
        <v>819</v>
      </c>
      <c r="C8" s="3">
        <f>78000*1.15</f>
        <v>89700</v>
      </c>
      <c r="D8" s="10">
        <v>1</v>
      </c>
      <c r="E8" s="3">
        <f t="shared" si="0"/>
        <v>89700</v>
      </c>
      <c r="F8" s="10" t="s">
        <v>198</v>
      </c>
    </row>
    <row r="9" spans="1:8" ht="49.5">
      <c r="A9" s="10" t="s">
        <v>201</v>
      </c>
      <c r="B9" s="10" t="s">
        <v>820</v>
      </c>
      <c r="C9" s="3">
        <f>108000*1.15</f>
        <v>124199.99999999999</v>
      </c>
      <c r="D9" s="10">
        <v>1</v>
      </c>
      <c r="E9" s="3">
        <f t="shared" si="0"/>
        <v>124199.99999999999</v>
      </c>
      <c r="F9" s="10" t="s">
        <v>198</v>
      </c>
    </row>
    <row r="10" spans="1:8" ht="49.5">
      <c r="A10" s="10" t="s">
        <v>202</v>
      </c>
      <c r="B10" s="10" t="s">
        <v>821</v>
      </c>
      <c r="C10" s="3">
        <f>162500*1.15</f>
        <v>186875</v>
      </c>
      <c r="D10" s="10">
        <v>1</v>
      </c>
      <c r="E10" s="3">
        <f t="shared" si="0"/>
        <v>186875</v>
      </c>
      <c r="F10" s="10" t="s">
        <v>198</v>
      </c>
    </row>
    <row r="11" spans="1:8" ht="49.5">
      <c r="A11" s="10" t="s">
        <v>203</v>
      </c>
      <c r="B11" s="10" t="s">
        <v>822</v>
      </c>
      <c r="C11" s="3">
        <f>234000*1.15</f>
        <v>269100</v>
      </c>
      <c r="D11" s="10">
        <v>1</v>
      </c>
      <c r="E11" s="3">
        <f t="shared" si="0"/>
        <v>269100</v>
      </c>
      <c r="F11" s="10" t="s">
        <v>198</v>
      </c>
    </row>
    <row r="12" spans="1:8" ht="49.5">
      <c r="A12" s="10" t="s">
        <v>204</v>
      </c>
      <c r="B12" s="10" t="s">
        <v>823</v>
      </c>
      <c r="C12" s="3">
        <f>364000*1.15</f>
        <v>418599.99999999994</v>
      </c>
      <c r="D12" s="10">
        <v>1</v>
      </c>
      <c r="E12" s="3">
        <f t="shared" si="0"/>
        <v>418599.99999999994</v>
      </c>
      <c r="F12" s="10" t="s">
        <v>198</v>
      </c>
    </row>
    <row r="13" spans="1:8" ht="49.5">
      <c r="A13" s="10" t="s">
        <v>205</v>
      </c>
      <c r="B13" s="10" t="s">
        <v>824</v>
      </c>
      <c r="C13" s="3">
        <f>637000*1.15</f>
        <v>732550</v>
      </c>
      <c r="D13" s="10">
        <v>1</v>
      </c>
      <c r="E13" s="3">
        <f t="shared" si="0"/>
        <v>732550</v>
      </c>
      <c r="F13" s="10" t="s">
        <v>198</v>
      </c>
    </row>
    <row r="14" spans="1:8" ht="49.5">
      <c r="A14" s="10" t="s">
        <v>206</v>
      </c>
      <c r="B14" s="10" t="s">
        <v>825</v>
      </c>
      <c r="C14" s="3">
        <f>1040000*1.15</f>
        <v>1196000</v>
      </c>
      <c r="D14" s="10">
        <v>1</v>
      </c>
      <c r="E14" s="3">
        <f t="shared" si="0"/>
        <v>1196000</v>
      </c>
      <c r="F14" s="10" t="s">
        <v>198</v>
      </c>
    </row>
    <row r="15" spans="1:8" ht="49.5">
      <c r="A15" s="10" t="s">
        <v>207</v>
      </c>
      <c r="B15" s="10" t="s">
        <v>826</v>
      </c>
      <c r="C15" s="3">
        <f>1690000*1.15</f>
        <v>1943499.9999999998</v>
      </c>
      <c r="D15" s="10">
        <v>1</v>
      </c>
      <c r="E15" s="3">
        <f t="shared" si="0"/>
        <v>1943499.9999999998</v>
      </c>
      <c r="F15" s="10" t="s">
        <v>198</v>
      </c>
    </row>
    <row r="16" spans="1:8" ht="49.5">
      <c r="A16" s="10" t="s">
        <v>208</v>
      </c>
      <c r="B16" s="10" t="s">
        <v>827</v>
      </c>
      <c r="C16" s="3">
        <f>3250000*1.15</f>
        <v>3737499.9999999995</v>
      </c>
      <c r="D16" s="10">
        <v>1</v>
      </c>
      <c r="E16" s="3">
        <f t="shared" si="0"/>
        <v>3737499.9999999995</v>
      </c>
      <c r="F16" s="10" t="s">
        <v>198</v>
      </c>
      <c r="H16" s="21"/>
    </row>
    <row r="17" spans="1:6" ht="49.5">
      <c r="A17" s="10" t="s">
        <v>209</v>
      </c>
      <c r="B17" s="10" t="s">
        <v>828</v>
      </c>
      <c r="C17" s="3">
        <f>4550000*1.15</f>
        <v>5232500</v>
      </c>
      <c r="D17" s="10">
        <v>1</v>
      </c>
      <c r="E17" s="3">
        <f t="shared" si="0"/>
        <v>5232500</v>
      </c>
      <c r="F17" s="10" t="s">
        <v>198</v>
      </c>
    </row>
    <row r="18" spans="1:6" ht="15.75">
      <c r="A18" s="58" t="s">
        <v>73</v>
      </c>
      <c r="B18" s="59"/>
      <c r="C18" s="59"/>
      <c r="D18" s="59"/>
      <c r="E18" s="59"/>
      <c r="F18" s="60"/>
    </row>
    <row r="19" spans="1:6" ht="63.75">
      <c r="A19" s="18" t="s">
        <v>210</v>
      </c>
      <c r="B19" s="18" t="s">
        <v>829</v>
      </c>
      <c r="C19" s="11">
        <f t="shared" ref="C19:C27" si="1">C5*0.4</f>
        <v>7590</v>
      </c>
      <c r="D19" s="10">
        <v>1</v>
      </c>
      <c r="E19" s="3">
        <f t="shared" ref="E19:E28" si="2">C19*D19</f>
        <v>7590</v>
      </c>
      <c r="F19" s="10" t="s">
        <v>211</v>
      </c>
    </row>
    <row r="20" spans="1:6" ht="63.75">
      <c r="A20" s="18" t="s">
        <v>212</v>
      </c>
      <c r="B20" s="18" t="s">
        <v>830</v>
      </c>
      <c r="C20" s="11">
        <f t="shared" si="1"/>
        <v>12650</v>
      </c>
      <c r="D20" s="10">
        <v>1</v>
      </c>
      <c r="E20" s="3">
        <f t="shared" si="2"/>
        <v>12650</v>
      </c>
      <c r="F20" s="10" t="s">
        <v>211</v>
      </c>
    </row>
    <row r="21" spans="1:6" ht="63.75">
      <c r="A21" s="18" t="s">
        <v>213</v>
      </c>
      <c r="B21" s="18" t="s">
        <v>831</v>
      </c>
      <c r="C21" s="11">
        <f t="shared" si="1"/>
        <v>24840</v>
      </c>
      <c r="D21" s="10">
        <v>1</v>
      </c>
      <c r="E21" s="3">
        <f t="shared" si="2"/>
        <v>24840</v>
      </c>
      <c r="F21" s="10" t="s">
        <v>211</v>
      </c>
    </row>
    <row r="22" spans="1:6" ht="63.75">
      <c r="A22" s="18" t="s">
        <v>214</v>
      </c>
      <c r="B22" s="18" t="s">
        <v>832</v>
      </c>
      <c r="C22" s="11">
        <f t="shared" si="1"/>
        <v>35880</v>
      </c>
      <c r="D22" s="10">
        <v>1</v>
      </c>
      <c r="E22" s="3">
        <f t="shared" si="2"/>
        <v>35880</v>
      </c>
      <c r="F22" s="10" t="s">
        <v>211</v>
      </c>
    </row>
    <row r="23" spans="1:6" ht="63.75">
      <c r="A23" s="18" t="s">
        <v>215</v>
      </c>
      <c r="B23" s="18" t="s">
        <v>833</v>
      </c>
      <c r="C23" s="11">
        <f t="shared" si="1"/>
        <v>49680</v>
      </c>
      <c r="D23" s="10">
        <v>1</v>
      </c>
      <c r="E23" s="3">
        <f t="shared" si="2"/>
        <v>49680</v>
      </c>
      <c r="F23" s="10" t="s">
        <v>211</v>
      </c>
    </row>
    <row r="24" spans="1:6" ht="63.75">
      <c r="A24" s="18" t="s">
        <v>216</v>
      </c>
      <c r="B24" s="18" t="s">
        <v>834</v>
      </c>
      <c r="C24" s="11">
        <f t="shared" si="1"/>
        <v>74750</v>
      </c>
      <c r="D24" s="10">
        <v>1</v>
      </c>
      <c r="E24" s="3">
        <f t="shared" si="2"/>
        <v>74750</v>
      </c>
      <c r="F24" s="10" t="s">
        <v>211</v>
      </c>
    </row>
    <row r="25" spans="1:6" ht="63.75">
      <c r="A25" s="18" t="s">
        <v>217</v>
      </c>
      <c r="B25" s="18" t="s">
        <v>835</v>
      </c>
      <c r="C25" s="11">
        <f t="shared" si="1"/>
        <v>107640</v>
      </c>
      <c r="D25" s="10">
        <v>1</v>
      </c>
      <c r="E25" s="3">
        <f t="shared" si="2"/>
        <v>107640</v>
      </c>
      <c r="F25" s="10" t="s">
        <v>211</v>
      </c>
    </row>
    <row r="26" spans="1:6" ht="63.75">
      <c r="A26" s="18" t="s">
        <v>218</v>
      </c>
      <c r="B26" s="18" t="s">
        <v>836</v>
      </c>
      <c r="C26" s="11">
        <f t="shared" si="1"/>
        <v>167440</v>
      </c>
      <c r="D26" s="10">
        <v>1</v>
      </c>
      <c r="E26" s="3">
        <f t="shared" si="2"/>
        <v>167440</v>
      </c>
      <c r="F26" s="10" t="s">
        <v>211</v>
      </c>
    </row>
    <row r="27" spans="1:6" ht="63.75">
      <c r="A27" s="18" t="s">
        <v>219</v>
      </c>
      <c r="B27" s="18" t="s">
        <v>837</v>
      </c>
      <c r="C27" s="11">
        <f t="shared" si="1"/>
        <v>293020</v>
      </c>
      <c r="D27" s="10">
        <v>1</v>
      </c>
      <c r="E27" s="3">
        <f t="shared" si="2"/>
        <v>293020</v>
      </c>
      <c r="F27" s="10" t="s">
        <v>211</v>
      </c>
    </row>
    <row r="28" spans="1:6" ht="63.75">
      <c r="A28" s="18" t="s">
        <v>220</v>
      </c>
      <c r="B28" s="18" t="s">
        <v>838</v>
      </c>
      <c r="C28" s="11">
        <f>C17*0.4</f>
        <v>2093000</v>
      </c>
      <c r="D28" s="10">
        <v>1</v>
      </c>
      <c r="E28" s="3">
        <f t="shared" si="2"/>
        <v>2093000</v>
      </c>
      <c r="F28" s="10" t="s">
        <v>211</v>
      </c>
    </row>
    <row r="29" spans="1:6" ht="15.75">
      <c r="A29" s="58" t="s">
        <v>95</v>
      </c>
      <c r="B29" s="59"/>
      <c r="C29" s="59"/>
      <c r="D29" s="59"/>
      <c r="E29" s="59"/>
      <c r="F29" s="60"/>
    </row>
    <row r="30" spans="1:6" ht="38.25">
      <c r="A30" s="18" t="s">
        <v>221</v>
      </c>
      <c r="B30" s="18" t="s">
        <v>839</v>
      </c>
      <c r="C30" s="11">
        <f t="shared" ref="C30:C42" si="3">C5*0.2</f>
        <v>3795</v>
      </c>
      <c r="D30" s="10">
        <v>1</v>
      </c>
      <c r="E30" s="3">
        <f t="shared" ref="E30:E42" si="4">C30*D30</f>
        <v>3795</v>
      </c>
      <c r="F30" s="10" t="s">
        <v>222</v>
      </c>
    </row>
    <row r="31" spans="1:6" ht="38.25">
      <c r="A31" s="18" t="s">
        <v>223</v>
      </c>
      <c r="B31" s="18" t="s">
        <v>840</v>
      </c>
      <c r="C31" s="11">
        <f t="shared" si="3"/>
        <v>6325</v>
      </c>
      <c r="D31" s="10">
        <v>1</v>
      </c>
      <c r="E31" s="3">
        <f t="shared" si="4"/>
        <v>6325</v>
      </c>
      <c r="F31" s="10" t="s">
        <v>222</v>
      </c>
    </row>
    <row r="32" spans="1:6" ht="38.25">
      <c r="A32" s="18" t="s">
        <v>224</v>
      </c>
      <c r="B32" s="18" t="s">
        <v>841</v>
      </c>
      <c r="C32" s="11">
        <f t="shared" si="3"/>
        <v>12420</v>
      </c>
      <c r="D32" s="10">
        <v>1</v>
      </c>
      <c r="E32" s="3">
        <f t="shared" si="4"/>
        <v>12420</v>
      </c>
      <c r="F32" s="10" t="s">
        <v>222</v>
      </c>
    </row>
    <row r="33" spans="1:6" ht="38.25">
      <c r="A33" s="18" t="s">
        <v>225</v>
      </c>
      <c r="B33" s="18" t="s">
        <v>842</v>
      </c>
      <c r="C33" s="11">
        <f t="shared" si="3"/>
        <v>17940</v>
      </c>
      <c r="D33" s="10">
        <v>1</v>
      </c>
      <c r="E33" s="3">
        <f t="shared" si="4"/>
        <v>17940</v>
      </c>
      <c r="F33" s="10" t="s">
        <v>222</v>
      </c>
    </row>
    <row r="34" spans="1:6" ht="38.25">
      <c r="A34" s="18" t="s">
        <v>226</v>
      </c>
      <c r="B34" s="18" t="s">
        <v>843</v>
      </c>
      <c r="C34" s="11">
        <f t="shared" si="3"/>
        <v>24840</v>
      </c>
      <c r="D34" s="10">
        <v>1</v>
      </c>
      <c r="E34" s="3">
        <f t="shared" si="4"/>
        <v>24840</v>
      </c>
      <c r="F34" s="10" t="s">
        <v>222</v>
      </c>
    </row>
    <row r="35" spans="1:6" ht="38.25">
      <c r="A35" s="18" t="s">
        <v>227</v>
      </c>
      <c r="B35" s="18" t="s">
        <v>844</v>
      </c>
      <c r="C35" s="11">
        <f t="shared" si="3"/>
        <v>37375</v>
      </c>
      <c r="D35" s="10">
        <v>1</v>
      </c>
      <c r="E35" s="3">
        <f t="shared" si="4"/>
        <v>37375</v>
      </c>
      <c r="F35" s="10" t="s">
        <v>222</v>
      </c>
    </row>
    <row r="36" spans="1:6" ht="38.25">
      <c r="A36" s="18" t="s">
        <v>228</v>
      </c>
      <c r="B36" s="18" t="s">
        <v>845</v>
      </c>
      <c r="C36" s="11">
        <f t="shared" si="3"/>
        <v>53820</v>
      </c>
      <c r="D36" s="10">
        <v>1</v>
      </c>
      <c r="E36" s="3">
        <f t="shared" si="4"/>
        <v>53820</v>
      </c>
      <c r="F36" s="10" t="s">
        <v>222</v>
      </c>
    </row>
    <row r="37" spans="1:6" ht="38.25">
      <c r="A37" s="18" t="s">
        <v>229</v>
      </c>
      <c r="B37" s="18" t="s">
        <v>846</v>
      </c>
      <c r="C37" s="11">
        <f t="shared" si="3"/>
        <v>83720</v>
      </c>
      <c r="D37" s="10">
        <v>1</v>
      </c>
      <c r="E37" s="3">
        <f t="shared" si="4"/>
        <v>83720</v>
      </c>
      <c r="F37" s="10" t="s">
        <v>222</v>
      </c>
    </row>
    <row r="38" spans="1:6" ht="38.25">
      <c r="A38" s="18" t="s">
        <v>230</v>
      </c>
      <c r="B38" s="18" t="s">
        <v>847</v>
      </c>
      <c r="C38" s="11">
        <f t="shared" si="3"/>
        <v>146510</v>
      </c>
      <c r="D38" s="10">
        <v>1</v>
      </c>
      <c r="E38" s="3">
        <f t="shared" si="4"/>
        <v>146510</v>
      </c>
      <c r="F38" s="10" t="s">
        <v>222</v>
      </c>
    </row>
    <row r="39" spans="1:6" ht="38.25">
      <c r="A39" s="18" t="s">
        <v>231</v>
      </c>
      <c r="B39" s="18" t="s">
        <v>848</v>
      </c>
      <c r="C39" s="11">
        <f t="shared" si="3"/>
        <v>239200</v>
      </c>
      <c r="D39" s="10">
        <v>1</v>
      </c>
      <c r="E39" s="3">
        <f t="shared" si="4"/>
        <v>239200</v>
      </c>
      <c r="F39" s="10" t="s">
        <v>222</v>
      </c>
    </row>
    <row r="40" spans="1:6" ht="38.25">
      <c r="A40" s="18" t="s">
        <v>232</v>
      </c>
      <c r="B40" s="18" t="s">
        <v>849</v>
      </c>
      <c r="C40" s="11">
        <f t="shared" si="3"/>
        <v>388700</v>
      </c>
      <c r="D40" s="10">
        <v>1</v>
      </c>
      <c r="E40" s="3">
        <f t="shared" si="4"/>
        <v>388700</v>
      </c>
      <c r="F40" s="10" t="s">
        <v>222</v>
      </c>
    </row>
    <row r="41" spans="1:6" ht="38.25">
      <c r="A41" s="18" t="s">
        <v>233</v>
      </c>
      <c r="B41" s="18" t="s">
        <v>850</v>
      </c>
      <c r="C41" s="11">
        <f t="shared" si="3"/>
        <v>747500</v>
      </c>
      <c r="D41" s="10">
        <v>1</v>
      </c>
      <c r="E41" s="3">
        <f t="shared" si="4"/>
        <v>747500</v>
      </c>
      <c r="F41" s="10" t="s">
        <v>222</v>
      </c>
    </row>
    <row r="42" spans="1:6" ht="38.25">
      <c r="A42" s="18" t="s">
        <v>234</v>
      </c>
      <c r="B42" s="18" t="s">
        <v>851</v>
      </c>
      <c r="C42" s="11">
        <f t="shared" si="3"/>
        <v>1046500</v>
      </c>
      <c r="D42" s="10">
        <v>1</v>
      </c>
      <c r="E42" s="3">
        <f t="shared" si="4"/>
        <v>1046500</v>
      </c>
      <c r="F42" s="10" t="s">
        <v>222</v>
      </c>
    </row>
    <row r="43" spans="1:6">
      <c r="A43" s="61" t="s">
        <v>112</v>
      </c>
      <c r="B43" s="62"/>
      <c r="C43" s="62"/>
      <c r="D43" s="62"/>
      <c r="E43" s="62"/>
      <c r="F43" s="63"/>
    </row>
    <row r="44" spans="1:6" ht="25.5">
      <c r="A44" s="18" t="s">
        <v>235</v>
      </c>
      <c r="B44" s="18" t="s">
        <v>852</v>
      </c>
      <c r="C44" s="11">
        <f>3000*1.2</f>
        <v>3600</v>
      </c>
      <c r="D44" s="10">
        <v>1</v>
      </c>
      <c r="E44" s="3">
        <f t="shared" ref="E44:E47" si="5">C44*D44</f>
        <v>3600</v>
      </c>
      <c r="F44" s="10" t="s">
        <v>236</v>
      </c>
    </row>
    <row r="45" spans="1:6" ht="25.5">
      <c r="A45" s="18" t="s">
        <v>237</v>
      </c>
      <c r="B45" s="18" t="s">
        <v>853</v>
      </c>
      <c r="C45" s="11">
        <f>2400*1.2</f>
        <v>2880</v>
      </c>
      <c r="D45" s="10">
        <v>1</v>
      </c>
      <c r="E45" s="3">
        <f t="shared" si="5"/>
        <v>2880</v>
      </c>
      <c r="F45" s="10" t="s">
        <v>236</v>
      </c>
    </row>
    <row r="46" spans="1:6" ht="25.5">
      <c r="A46" s="18" t="s">
        <v>238</v>
      </c>
      <c r="B46" s="18" t="s">
        <v>854</v>
      </c>
      <c r="C46" s="11">
        <f>1800*1.2</f>
        <v>2160</v>
      </c>
      <c r="D46" s="10">
        <v>1</v>
      </c>
      <c r="E46" s="3">
        <f t="shared" si="5"/>
        <v>2160</v>
      </c>
      <c r="F46" s="10" t="s">
        <v>236</v>
      </c>
    </row>
    <row r="47" spans="1:6" ht="25.5">
      <c r="A47" s="18" t="s">
        <v>239</v>
      </c>
      <c r="B47" s="18" t="s">
        <v>855</v>
      </c>
      <c r="C47" s="28">
        <f>1200*1.2</f>
        <v>1440</v>
      </c>
      <c r="D47" s="10">
        <v>1</v>
      </c>
      <c r="E47" s="3">
        <f t="shared" si="5"/>
        <v>1440</v>
      </c>
      <c r="F47" s="10" t="s">
        <v>236</v>
      </c>
    </row>
    <row r="48" spans="1:6">
      <c r="A48" s="61" t="s">
        <v>17</v>
      </c>
      <c r="B48" s="62"/>
      <c r="C48" s="62"/>
      <c r="D48" s="62"/>
      <c r="E48" s="62"/>
      <c r="F48" s="63"/>
    </row>
    <row r="49" spans="1:6">
      <c r="A49" s="61" t="s">
        <v>15</v>
      </c>
      <c r="B49" s="62"/>
      <c r="C49" s="62"/>
      <c r="D49" s="62"/>
      <c r="E49" s="62"/>
      <c r="F49" s="63"/>
    </row>
    <row r="50" spans="1:6" ht="63.75">
      <c r="A50" s="18" t="s">
        <v>240</v>
      </c>
      <c r="B50" s="18" t="s">
        <v>856</v>
      </c>
      <c r="C50" s="11">
        <f t="shared" ref="C50:C62" si="6">C5*0.4</f>
        <v>7590</v>
      </c>
      <c r="D50" s="10">
        <v>1</v>
      </c>
      <c r="E50" s="3">
        <f t="shared" ref="E50:E62" si="7">C50*D50</f>
        <v>7590</v>
      </c>
      <c r="F50" s="10" t="s">
        <v>241</v>
      </c>
    </row>
    <row r="51" spans="1:6" ht="63.75">
      <c r="A51" s="18" t="s">
        <v>242</v>
      </c>
      <c r="B51" s="18" t="s">
        <v>857</v>
      </c>
      <c r="C51" s="11">
        <f t="shared" si="6"/>
        <v>12650</v>
      </c>
      <c r="D51" s="10">
        <v>1</v>
      </c>
      <c r="E51" s="3">
        <f t="shared" si="7"/>
        <v>12650</v>
      </c>
      <c r="F51" s="10" t="s">
        <v>241</v>
      </c>
    </row>
    <row r="52" spans="1:6" ht="63.75">
      <c r="A52" s="18" t="s">
        <v>243</v>
      </c>
      <c r="B52" s="18" t="s">
        <v>858</v>
      </c>
      <c r="C52" s="11">
        <f t="shared" si="6"/>
        <v>24840</v>
      </c>
      <c r="D52" s="10">
        <v>1</v>
      </c>
      <c r="E52" s="3">
        <f t="shared" si="7"/>
        <v>24840</v>
      </c>
      <c r="F52" s="10" t="s">
        <v>241</v>
      </c>
    </row>
    <row r="53" spans="1:6" ht="63.75">
      <c r="A53" s="18" t="s">
        <v>244</v>
      </c>
      <c r="B53" s="18" t="s">
        <v>859</v>
      </c>
      <c r="C53" s="11">
        <f t="shared" si="6"/>
        <v>35880</v>
      </c>
      <c r="D53" s="10">
        <v>1</v>
      </c>
      <c r="E53" s="3">
        <f t="shared" si="7"/>
        <v>35880</v>
      </c>
      <c r="F53" s="10" t="s">
        <v>241</v>
      </c>
    </row>
    <row r="54" spans="1:6" ht="63.75">
      <c r="A54" s="18" t="s">
        <v>245</v>
      </c>
      <c r="B54" s="18" t="s">
        <v>860</v>
      </c>
      <c r="C54" s="11">
        <f t="shared" si="6"/>
        <v>49680</v>
      </c>
      <c r="D54" s="10">
        <v>1</v>
      </c>
      <c r="E54" s="3">
        <f t="shared" si="7"/>
        <v>49680</v>
      </c>
      <c r="F54" s="10" t="s">
        <v>241</v>
      </c>
    </row>
    <row r="55" spans="1:6" ht="63.75">
      <c r="A55" s="18" t="s">
        <v>246</v>
      </c>
      <c r="B55" s="18" t="s">
        <v>861</v>
      </c>
      <c r="C55" s="11">
        <f t="shared" si="6"/>
        <v>74750</v>
      </c>
      <c r="D55" s="10">
        <v>1</v>
      </c>
      <c r="E55" s="3">
        <f t="shared" si="7"/>
        <v>74750</v>
      </c>
      <c r="F55" s="10" t="s">
        <v>241</v>
      </c>
    </row>
    <row r="56" spans="1:6" ht="63.75">
      <c r="A56" s="18" t="s">
        <v>247</v>
      </c>
      <c r="B56" s="18" t="s">
        <v>862</v>
      </c>
      <c r="C56" s="11">
        <f t="shared" si="6"/>
        <v>107640</v>
      </c>
      <c r="D56" s="10">
        <v>1</v>
      </c>
      <c r="E56" s="3">
        <f t="shared" si="7"/>
        <v>107640</v>
      </c>
      <c r="F56" s="10" t="s">
        <v>241</v>
      </c>
    </row>
    <row r="57" spans="1:6" ht="63.75">
      <c r="A57" s="18" t="s">
        <v>248</v>
      </c>
      <c r="B57" s="18" t="s">
        <v>863</v>
      </c>
      <c r="C57" s="11">
        <f t="shared" si="6"/>
        <v>167440</v>
      </c>
      <c r="D57" s="10">
        <v>1</v>
      </c>
      <c r="E57" s="3">
        <f t="shared" si="7"/>
        <v>167440</v>
      </c>
      <c r="F57" s="10" t="s">
        <v>241</v>
      </c>
    </row>
    <row r="58" spans="1:6" ht="63.75">
      <c r="A58" s="18" t="s">
        <v>249</v>
      </c>
      <c r="B58" s="18" t="s">
        <v>864</v>
      </c>
      <c r="C58" s="11">
        <f t="shared" si="6"/>
        <v>293020</v>
      </c>
      <c r="D58" s="10">
        <v>1</v>
      </c>
      <c r="E58" s="3">
        <f t="shared" si="7"/>
        <v>293020</v>
      </c>
      <c r="F58" s="10" t="s">
        <v>241</v>
      </c>
    </row>
    <row r="59" spans="1:6" ht="63.75">
      <c r="A59" s="18" t="s">
        <v>250</v>
      </c>
      <c r="B59" s="18" t="s">
        <v>865</v>
      </c>
      <c r="C59" s="11">
        <f t="shared" si="6"/>
        <v>478400</v>
      </c>
      <c r="D59" s="10">
        <v>1</v>
      </c>
      <c r="E59" s="3">
        <f t="shared" si="7"/>
        <v>478400</v>
      </c>
      <c r="F59" s="10" t="s">
        <v>241</v>
      </c>
    </row>
    <row r="60" spans="1:6" ht="63.75">
      <c r="A60" s="18" t="s">
        <v>251</v>
      </c>
      <c r="B60" s="18" t="s">
        <v>866</v>
      </c>
      <c r="C60" s="11">
        <f t="shared" si="6"/>
        <v>777400</v>
      </c>
      <c r="D60" s="10">
        <v>1</v>
      </c>
      <c r="E60" s="3">
        <f t="shared" si="7"/>
        <v>777400</v>
      </c>
      <c r="F60" s="10" t="s">
        <v>241</v>
      </c>
    </row>
    <row r="61" spans="1:6" ht="63.75">
      <c r="A61" s="18" t="s">
        <v>252</v>
      </c>
      <c r="B61" s="18" t="s">
        <v>867</v>
      </c>
      <c r="C61" s="11">
        <f t="shared" si="6"/>
        <v>1495000</v>
      </c>
      <c r="D61" s="10">
        <v>1</v>
      </c>
      <c r="E61" s="3">
        <f t="shared" si="7"/>
        <v>1495000</v>
      </c>
      <c r="F61" s="10" t="s">
        <v>241</v>
      </c>
    </row>
    <row r="62" spans="1:6" ht="63.75">
      <c r="A62" s="19" t="s">
        <v>253</v>
      </c>
      <c r="B62" s="19" t="s">
        <v>868</v>
      </c>
      <c r="C62" s="11">
        <f t="shared" si="6"/>
        <v>2093000</v>
      </c>
      <c r="D62" s="10">
        <v>1</v>
      </c>
      <c r="E62" s="3">
        <f t="shared" si="7"/>
        <v>2093000</v>
      </c>
      <c r="F62" s="10" t="s">
        <v>241</v>
      </c>
    </row>
    <row r="63" spans="1:6">
      <c r="A63" s="61" t="s">
        <v>146</v>
      </c>
      <c r="B63" s="62"/>
      <c r="C63" s="62"/>
      <c r="D63" s="62"/>
      <c r="E63" s="62"/>
      <c r="F63" s="63"/>
    </row>
    <row r="64" spans="1:6" ht="25.5">
      <c r="A64" s="18" t="s">
        <v>254</v>
      </c>
      <c r="B64" s="18" t="s">
        <v>869</v>
      </c>
      <c r="C64" s="11">
        <f>C44*0.4</f>
        <v>1440</v>
      </c>
      <c r="D64" s="10">
        <v>1</v>
      </c>
      <c r="E64" s="3">
        <f t="shared" ref="E64:E67" si="8">C64*D64</f>
        <v>1440</v>
      </c>
      <c r="F64" s="10" t="s">
        <v>255</v>
      </c>
    </row>
    <row r="65" spans="1:6" ht="25.5">
      <c r="A65" s="18" t="s">
        <v>256</v>
      </c>
      <c r="B65" s="18" t="s">
        <v>870</v>
      </c>
      <c r="C65" s="11">
        <f>C45*0.4</f>
        <v>1152</v>
      </c>
      <c r="D65" s="10">
        <v>1</v>
      </c>
      <c r="E65" s="3">
        <f t="shared" si="8"/>
        <v>1152</v>
      </c>
      <c r="F65" s="10" t="s">
        <v>255</v>
      </c>
    </row>
    <row r="66" spans="1:6" ht="25.5">
      <c r="A66" s="18" t="s">
        <v>257</v>
      </c>
      <c r="B66" s="18" t="s">
        <v>871</v>
      </c>
      <c r="C66" s="11">
        <f>C46*0.4</f>
        <v>864</v>
      </c>
      <c r="D66" s="10">
        <v>1</v>
      </c>
      <c r="E66" s="3">
        <f t="shared" si="8"/>
        <v>864</v>
      </c>
      <c r="F66" s="10" t="s">
        <v>255</v>
      </c>
    </row>
    <row r="67" spans="1:6" ht="25.5">
      <c r="A67" s="18" t="s">
        <v>258</v>
      </c>
      <c r="B67" s="18" t="s">
        <v>872</v>
      </c>
      <c r="C67" s="11">
        <f>C47*0.4</f>
        <v>576</v>
      </c>
      <c r="D67" s="10">
        <v>1</v>
      </c>
      <c r="E67" s="3">
        <f t="shared" si="8"/>
        <v>576</v>
      </c>
      <c r="F67" s="10" t="s">
        <v>255</v>
      </c>
    </row>
    <row r="68" spans="1:6">
      <c r="A68" s="61" t="s">
        <v>156</v>
      </c>
      <c r="B68" s="62"/>
      <c r="C68" s="62"/>
      <c r="D68" s="62"/>
      <c r="E68" s="62"/>
      <c r="F68" s="63"/>
    </row>
    <row r="69" spans="1:6">
      <c r="A69" s="61" t="s">
        <v>15</v>
      </c>
      <c r="B69" s="62"/>
      <c r="C69" s="62"/>
      <c r="D69" s="62"/>
      <c r="E69" s="62"/>
      <c r="F69" s="63"/>
    </row>
    <row r="70" spans="1:6" ht="51">
      <c r="A70" s="10" t="s">
        <v>259</v>
      </c>
      <c r="B70" s="10" t="s">
        <v>873</v>
      </c>
      <c r="C70" s="11">
        <f t="shared" ref="C70:C82" si="9">ROUNDUP(C5/2,0.1)</f>
        <v>9488</v>
      </c>
      <c r="D70" s="10">
        <v>1</v>
      </c>
      <c r="E70" s="3">
        <f t="shared" ref="E70:E82" si="10">C70*D70</f>
        <v>9488</v>
      </c>
      <c r="F70" s="10" t="s">
        <v>260</v>
      </c>
    </row>
    <row r="71" spans="1:6" ht="51">
      <c r="A71" s="10" t="s">
        <v>261</v>
      </c>
      <c r="B71" s="10" t="s">
        <v>874</v>
      </c>
      <c r="C71" s="11">
        <f t="shared" si="9"/>
        <v>15813</v>
      </c>
      <c r="D71" s="10">
        <v>1</v>
      </c>
      <c r="E71" s="3">
        <f t="shared" si="10"/>
        <v>15813</v>
      </c>
      <c r="F71" s="10" t="s">
        <v>260</v>
      </c>
    </row>
    <row r="72" spans="1:6" ht="51">
      <c r="A72" s="10" t="s">
        <v>262</v>
      </c>
      <c r="B72" s="10" t="s">
        <v>875</v>
      </c>
      <c r="C72" s="11">
        <f t="shared" si="9"/>
        <v>31050</v>
      </c>
      <c r="D72" s="10">
        <v>1</v>
      </c>
      <c r="E72" s="3">
        <f t="shared" si="10"/>
        <v>31050</v>
      </c>
      <c r="F72" s="10" t="s">
        <v>260</v>
      </c>
    </row>
    <row r="73" spans="1:6" ht="51">
      <c r="A73" s="10" t="s">
        <v>263</v>
      </c>
      <c r="B73" s="10" t="s">
        <v>876</v>
      </c>
      <c r="C73" s="11">
        <f t="shared" si="9"/>
        <v>44850</v>
      </c>
      <c r="D73" s="10">
        <v>1</v>
      </c>
      <c r="E73" s="3">
        <f t="shared" si="10"/>
        <v>44850</v>
      </c>
      <c r="F73" s="10" t="s">
        <v>260</v>
      </c>
    </row>
    <row r="74" spans="1:6" ht="51">
      <c r="A74" s="10" t="s">
        <v>264</v>
      </c>
      <c r="B74" s="10" t="s">
        <v>877</v>
      </c>
      <c r="C74" s="11">
        <f t="shared" si="9"/>
        <v>62100</v>
      </c>
      <c r="D74" s="10">
        <v>1</v>
      </c>
      <c r="E74" s="3">
        <f t="shared" si="10"/>
        <v>62100</v>
      </c>
      <c r="F74" s="10" t="s">
        <v>260</v>
      </c>
    </row>
    <row r="75" spans="1:6" ht="51">
      <c r="A75" s="10" t="s">
        <v>265</v>
      </c>
      <c r="B75" s="10" t="s">
        <v>878</v>
      </c>
      <c r="C75" s="11">
        <f t="shared" si="9"/>
        <v>93438</v>
      </c>
      <c r="D75" s="10">
        <v>1</v>
      </c>
      <c r="E75" s="3">
        <f t="shared" si="10"/>
        <v>93438</v>
      </c>
      <c r="F75" s="10" t="s">
        <v>260</v>
      </c>
    </row>
    <row r="76" spans="1:6" ht="51">
      <c r="A76" s="10" t="s">
        <v>266</v>
      </c>
      <c r="B76" s="10" t="s">
        <v>879</v>
      </c>
      <c r="C76" s="11">
        <f t="shared" si="9"/>
        <v>134550</v>
      </c>
      <c r="D76" s="10">
        <v>1</v>
      </c>
      <c r="E76" s="3">
        <f t="shared" si="10"/>
        <v>134550</v>
      </c>
      <c r="F76" s="10" t="s">
        <v>260</v>
      </c>
    </row>
    <row r="77" spans="1:6" ht="51">
      <c r="A77" s="10" t="s">
        <v>267</v>
      </c>
      <c r="B77" s="10" t="s">
        <v>880</v>
      </c>
      <c r="C77" s="11">
        <f t="shared" si="9"/>
        <v>209300</v>
      </c>
      <c r="D77" s="10">
        <v>1</v>
      </c>
      <c r="E77" s="3">
        <f t="shared" si="10"/>
        <v>209300</v>
      </c>
      <c r="F77" s="10" t="s">
        <v>260</v>
      </c>
    </row>
    <row r="78" spans="1:6" ht="51">
      <c r="A78" s="10" t="s">
        <v>268</v>
      </c>
      <c r="B78" s="10" t="s">
        <v>881</v>
      </c>
      <c r="C78" s="11">
        <f t="shared" si="9"/>
        <v>366275</v>
      </c>
      <c r="D78" s="10">
        <v>1</v>
      </c>
      <c r="E78" s="3">
        <f t="shared" si="10"/>
        <v>366275</v>
      </c>
      <c r="F78" s="10" t="s">
        <v>260</v>
      </c>
    </row>
    <row r="79" spans="1:6" ht="51">
      <c r="A79" s="10" t="s">
        <v>269</v>
      </c>
      <c r="B79" s="10" t="s">
        <v>882</v>
      </c>
      <c r="C79" s="11">
        <f t="shared" si="9"/>
        <v>598000</v>
      </c>
      <c r="D79" s="10">
        <v>1</v>
      </c>
      <c r="E79" s="3">
        <f t="shared" si="10"/>
        <v>598000</v>
      </c>
      <c r="F79" s="10" t="s">
        <v>260</v>
      </c>
    </row>
    <row r="80" spans="1:6" ht="51">
      <c r="A80" s="10" t="s">
        <v>270</v>
      </c>
      <c r="B80" s="10" t="s">
        <v>883</v>
      </c>
      <c r="C80" s="11">
        <f t="shared" si="9"/>
        <v>971750</v>
      </c>
      <c r="D80" s="10">
        <v>1</v>
      </c>
      <c r="E80" s="3">
        <f t="shared" si="10"/>
        <v>971750</v>
      </c>
      <c r="F80" s="10" t="s">
        <v>260</v>
      </c>
    </row>
    <row r="81" spans="1:6" ht="51">
      <c r="A81" s="10" t="s">
        <v>271</v>
      </c>
      <c r="B81" s="10" t="s">
        <v>884</v>
      </c>
      <c r="C81" s="11">
        <f t="shared" si="9"/>
        <v>1868750</v>
      </c>
      <c r="D81" s="10">
        <v>1</v>
      </c>
      <c r="E81" s="3">
        <f t="shared" si="10"/>
        <v>1868750</v>
      </c>
      <c r="F81" s="10" t="s">
        <v>260</v>
      </c>
    </row>
    <row r="82" spans="1:6" ht="51">
      <c r="A82" s="10" t="s">
        <v>272</v>
      </c>
      <c r="B82" s="10" t="s">
        <v>885</v>
      </c>
      <c r="C82" s="11">
        <f t="shared" si="9"/>
        <v>2616250</v>
      </c>
      <c r="D82" s="10">
        <v>1</v>
      </c>
      <c r="E82" s="3">
        <f t="shared" si="10"/>
        <v>2616250</v>
      </c>
      <c r="F82" s="10" t="s">
        <v>260</v>
      </c>
    </row>
    <row r="83" spans="1:6" ht="21.75">
      <c r="A83" s="27" t="s">
        <v>180</v>
      </c>
      <c r="B83" s="22"/>
    </row>
    <row r="84" spans="1:6" ht="105">
      <c r="A84" s="49" t="s">
        <v>1094</v>
      </c>
      <c r="B84" s="25" t="s">
        <v>813</v>
      </c>
    </row>
    <row r="85" spans="1:6" ht="45">
      <c r="A85" s="24" t="s">
        <v>185</v>
      </c>
      <c r="B85" s="25" t="s">
        <v>186</v>
      </c>
    </row>
    <row r="86" spans="1:6">
      <c r="A86" s="24" t="s">
        <v>187</v>
      </c>
      <c r="B86" s="23" t="s">
        <v>188</v>
      </c>
    </row>
  </sheetData>
  <mergeCells count="10">
    <mergeCell ref="A69:F69"/>
    <mergeCell ref="A1:F1"/>
    <mergeCell ref="A3:F3"/>
    <mergeCell ref="A18:F18"/>
    <mergeCell ref="A29:F29"/>
    <mergeCell ref="A43:F43"/>
    <mergeCell ref="A48:F48"/>
    <mergeCell ref="A49:F49"/>
    <mergeCell ref="A63:F63"/>
    <mergeCell ref="A68:F68"/>
  </mergeCells>
  <hyperlinks>
    <hyperlink ref="B86" r:id="rId1" xr:uid="{00000000-0004-0000-04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F70"/>
  <sheetViews>
    <sheetView zoomScale="90" zoomScaleNormal="90" workbookViewId="0">
      <selection activeCell="G2" sqref="G1:J1048576"/>
    </sheetView>
  </sheetViews>
  <sheetFormatPr defaultColWidth="8.7109375" defaultRowHeight="15"/>
  <cols>
    <col min="1" max="1" width="26.42578125" customWidth="1"/>
    <col min="2" max="2" width="65.28515625" customWidth="1"/>
    <col min="3" max="5" width="14.42578125" customWidth="1"/>
    <col min="6" max="6" width="60" customWidth="1"/>
  </cols>
  <sheetData>
    <row r="1" spans="1:6" ht="17.25">
      <c r="A1" s="57" t="s">
        <v>2</v>
      </c>
      <c r="B1" s="57"/>
      <c r="C1" s="57"/>
      <c r="D1" s="57"/>
      <c r="E1" s="57"/>
      <c r="F1" s="57"/>
    </row>
    <row r="2" spans="1:6">
      <c r="A2" s="8" t="s">
        <v>11</v>
      </c>
      <c r="B2" s="8" t="s">
        <v>12</v>
      </c>
      <c r="C2" s="8" t="s">
        <v>18</v>
      </c>
      <c r="D2" s="8" t="s">
        <v>273</v>
      </c>
      <c r="E2" s="8" t="s">
        <v>20</v>
      </c>
      <c r="F2" s="8" t="s">
        <v>14</v>
      </c>
    </row>
    <row r="3" spans="1:6" ht="15.75">
      <c r="A3" s="54" t="s">
        <v>15</v>
      </c>
      <c r="B3" s="55"/>
      <c r="C3" s="55"/>
      <c r="D3" s="55"/>
      <c r="E3" s="55"/>
      <c r="F3" s="56"/>
    </row>
    <row r="4" spans="1:6" ht="63.75">
      <c r="A4" s="10" t="s">
        <v>1127</v>
      </c>
      <c r="B4" s="18" t="s">
        <v>1132</v>
      </c>
      <c r="C4" s="3">
        <f>60000</f>
        <v>60000</v>
      </c>
      <c r="D4" s="10">
        <v>1</v>
      </c>
      <c r="E4" s="3">
        <f>D4*C4</f>
        <v>60000</v>
      </c>
      <c r="F4" s="10" t="s">
        <v>278</v>
      </c>
    </row>
    <row r="5" spans="1:6" ht="63.75">
      <c r="A5" s="10" t="s">
        <v>1128</v>
      </c>
      <c r="B5" s="18" t="s">
        <v>1133</v>
      </c>
      <c r="C5" s="3">
        <f>110000</f>
        <v>110000</v>
      </c>
      <c r="D5" s="10">
        <v>1</v>
      </c>
      <c r="E5" s="3">
        <f t="shared" ref="E5:E8" si="0">D5*C5</f>
        <v>110000</v>
      </c>
      <c r="F5" s="10" t="s">
        <v>278</v>
      </c>
    </row>
    <row r="6" spans="1:6" ht="63.75">
      <c r="A6" s="10" t="s">
        <v>1129</v>
      </c>
      <c r="B6" s="18" t="s">
        <v>1134</v>
      </c>
      <c r="C6" s="3">
        <f>189000</f>
        <v>189000</v>
      </c>
      <c r="D6" s="10">
        <v>1</v>
      </c>
      <c r="E6" s="3">
        <f t="shared" si="0"/>
        <v>189000</v>
      </c>
      <c r="F6" s="10" t="s">
        <v>278</v>
      </c>
    </row>
    <row r="7" spans="1:6" ht="63.75">
      <c r="A7" s="10" t="s">
        <v>1130</v>
      </c>
      <c r="B7" s="18" t="s">
        <v>1135</v>
      </c>
      <c r="C7" s="3">
        <v>274000</v>
      </c>
      <c r="D7" s="10">
        <v>1</v>
      </c>
      <c r="E7" s="3">
        <f t="shared" si="0"/>
        <v>274000</v>
      </c>
      <c r="F7" s="10" t="s">
        <v>278</v>
      </c>
    </row>
    <row r="8" spans="1:6" ht="63.75">
      <c r="A8" s="10" t="s">
        <v>1131</v>
      </c>
      <c r="B8" s="18" t="s">
        <v>1136</v>
      </c>
      <c r="C8" s="3">
        <f>386000</f>
        <v>386000</v>
      </c>
      <c r="D8" s="10">
        <v>1</v>
      </c>
      <c r="E8" s="3">
        <f t="shared" si="0"/>
        <v>386000</v>
      </c>
      <c r="F8" s="10" t="s">
        <v>278</v>
      </c>
    </row>
    <row r="9" spans="1:6" ht="63.75">
      <c r="A9" s="10" t="s">
        <v>274</v>
      </c>
      <c r="B9" s="18" t="s">
        <v>275</v>
      </c>
      <c r="C9" s="3">
        <f>600000*1.15</f>
        <v>690000</v>
      </c>
      <c r="D9" s="10">
        <v>1</v>
      </c>
      <c r="E9" s="3">
        <f t="shared" ref="E9:E15" si="1">D9*C9</f>
        <v>690000</v>
      </c>
      <c r="F9" s="10" t="s">
        <v>278</v>
      </c>
    </row>
    <row r="10" spans="1:6" ht="63.75">
      <c r="A10" s="10" t="s">
        <v>276</v>
      </c>
      <c r="B10" s="18" t="s">
        <v>277</v>
      </c>
      <c r="C10" s="3">
        <f>1100000*1.15</f>
        <v>1265000</v>
      </c>
      <c r="D10" s="10">
        <v>1</v>
      </c>
      <c r="E10" s="3">
        <f t="shared" si="1"/>
        <v>1265000</v>
      </c>
      <c r="F10" s="10" t="s">
        <v>278</v>
      </c>
    </row>
    <row r="11" spans="1:6" ht="63.75">
      <c r="A11" s="10" t="s">
        <v>279</v>
      </c>
      <c r="B11" s="18" t="s">
        <v>280</v>
      </c>
      <c r="C11" s="3">
        <f>1600000*1.15</f>
        <v>1839999.9999999998</v>
      </c>
      <c r="D11" s="10">
        <v>1</v>
      </c>
      <c r="E11" s="3">
        <f t="shared" si="1"/>
        <v>1839999.9999999998</v>
      </c>
      <c r="F11" s="10" t="s">
        <v>278</v>
      </c>
    </row>
    <row r="12" spans="1:6" ht="63.75">
      <c r="A12" s="10" t="s">
        <v>281</v>
      </c>
      <c r="B12" s="18" t="s">
        <v>282</v>
      </c>
      <c r="C12" s="3">
        <f>2100000*1.15</f>
        <v>2415000</v>
      </c>
      <c r="D12" s="10">
        <v>1</v>
      </c>
      <c r="E12" s="3">
        <f t="shared" si="1"/>
        <v>2415000</v>
      </c>
      <c r="F12" s="10" t="s">
        <v>278</v>
      </c>
    </row>
    <row r="13" spans="1:6" ht="63.75">
      <c r="A13" s="10" t="s">
        <v>283</v>
      </c>
      <c r="B13" s="18" t="s">
        <v>284</v>
      </c>
      <c r="C13" s="3">
        <f>'Сканер-ВС 7.0 BASE ФСТЭК'!C14+1500000</f>
        <v>3443500</v>
      </c>
      <c r="D13" s="10">
        <v>1</v>
      </c>
      <c r="E13" s="3">
        <f t="shared" si="1"/>
        <v>3443500</v>
      </c>
      <c r="F13" s="10" t="s">
        <v>278</v>
      </c>
    </row>
    <row r="14" spans="1:6" ht="63.75">
      <c r="A14" s="10" t="s">
        <v>285</v>
      </c>
      <c r="B14" s="18" t="s">
        <v>286</v>
      </c>
      <c r="C14" s="3">
        <f>'Сканер-ВС 7.0 BASE ФСТЭК'!C15+1750000</f>
        <v>5487500</v>
      </c>
      <c r="D14" s="10">
        <v>1</v>
      </c>
      <c r="E14" s="3">
        <f t="shared" si="1"/>
        <v>5487500</v>
      </c>
      <c r="F14" s="10" t="s">
        <v>278</v>
      </c>
    </row>
    <row r="15" spans="1:6" ht="72" customHeight="1">
      <c r="A15" s="10" t="s">
        <v>287</v>
      </c>
      <c r="B15" s="18" t="s">
        <v>288</v>
      </c>
      <c r="C15" s="3">
        <f>'Сканер-ВС 7.0 BASE ФСТЭК'!C16+2000000</f>
        <v>7232500</v>
      </c>
      <c r="D15" s="10">
        <v>1</v>
      </c>
      <c r="E15" s="3">
        <f t="shared" si="1"/>
        <v>7232500</v>
      </c>
      <c r="F15" s="10" t="s">
        <v>278</v>
      </c>
    </row>
    <row r="16" spans="1:6" ht="15.75">
      <c r="A16" s="54" t="s">
        <v>47</v>
      </c>
      <c r="B16" s="55"/>
      <c r="C16" s="55"/>
      <c r="D16" s="55"/>
      <c r="E16" s="55"/>
      <c r="F16" s="56"/>
    </row>
    <row r="17" spans="1:6" ht="15.75">
      <c r="A17" s="54" t="s">
        <v>793</v>
      </c>
      <c r="B17" s="55"/>
      <c r="C17" s="55"/>
      <c r="D17" s="55"/>
      <c r="E17" s="55"/>
      <c r="F17" s="56"/>
    </row>
    <row r="18" spans="1:6" ht="76.5">
      <c r="A18" s="37" t="s">
        <v>1192</v>
      </c>
      <c r="B18" s="52" t="s">
        <v>1203</v>
      </c>
      <c r="C18" s="11">
        <f>C4+32500+10000</f>
        <v>102500</v>
      </c>
      <c r="D18" s="10">
        <v>1</v>
      </c>
      <c r="E18" s="3">
        <f t="shared" ref="E18:E29" si="2">C18*D18</f>
        <v>102500</v>
      </c>
      <c r="F18" s="37" t="s">
        <v>1188</v>
      </c>
    </row>
    <row r="19" spans="1:6" ht="76.5">
      <c r="A19" s="37" t="s">
        <v>1193</v>
      </c>
      <c r="B19" s="52" t="s">
        <v>1204</v>
      </c>
      <c r="C19" s="11">
        <f t="shared" ref="C19:C28" si="3">C5+32500+10000</f>
        <v>152500</v>
      </c>
      <c r="D19" s="10">
        <v>1</v>
      </c>
      <c r="E19" s="3">
        <f t="shared" si="2"/>
        <v>152500</v>
      </c>
      <c r="F19" s="37" t="s">
        <v>1188</v>
      </c>
    </row>
    <row r="20" spans="1:6" ht="76.5">
      <c r="A20" s="37" t="s">
        <v>1194</v>
      </c>
      <c r="B20" s="52" t="s">
        <v>1205</v>
      </c>
      <c r="C20" s="11">
        <f t="shared" si="3"/>
        <v>231500</v>
      </c>
      <c r="D20" s="10">
        <v>1</v>
      </c>
      <c r="E20" s="3">
        <f t="shared" si="2"/>
        <v>231500</v>
      </c>
      <c r="F20" s="37" t="s">
        <v>1188</v>
      </c>
    </row>
    <row r="21" spans="1:6" ht="76.5">
      <c r="A21" s="37" t="s">
        <v>1195</v>
      </c>
      <c r="B21" s="52" t="s">
        <v>1206</v>
      </c>
      <c r="C21" s="11">
        <f t="shared" si="3"/>
        <v>316500</v>
      </c>
      <c r="D21" s="10">
        <v>1</v>
      </c>
      <c r="E21" s="3">
        <f t="shared" si="2"/>
        <v>316500</v>
      </c>
      <c r="F21" s="37" t="s">
        <v>1188</v>
      </c>
    </row>
    <row r="22" spans="1:6" ht="76.5">
      <c r="A22" s="37" t="s">
        <v>1189</v>
      </c>
      <c r="B22" s="52" t="s">
        <v>1202</v>
      </c>
      <c r="C22" s="11">
        <f t="shared" si="3"/>
        <v>428500</v>
      </c>
      <c r="D22" s="10">
        <v>1</v>
      </c>
      <c r="E22" s="3">
        <f t="shared" si="2"/>
        <v>428500</v>
      </c>
      <c r="F22" s="37" t="s">
        <v>1188</v>
      </c>
    </row>
    <row r="23" spans="1:6" ht="76.5">
      <c r="A23" s="37" t="s">
        <v>1190</v>
      </c>
      <c r="B23" s="52" t="s">
        <v>1201</v>
      </c>
      <c r="C23" s="11">
        <f t="shared" si="3"/>
        <v>732500</v>
      </c>
      <c r="D23" s="10">
        <v>1</v>
      </c>
      <c r="E23" s="3">
        <f t="shared" si="2"/>
        <v>732500</v>
      </c>
      <c r="F23" s="37" t="s">
        <v>1188</v>
      </c>
    </row>
    <row r="24" spans="1:6" ht="76.5">
      <c r="A24" s="37" t="s">
        <v>1191</v>
      </c>
      <c r="B24" s="52" t="s">
        <v>1207</v>
      </c>
      <c r="C24" s="11">
        <f t="shared" si="3"/>
        <v>1307500</v>
      </c>
      <c r="D24" s="10">
        <v>1</v>
      </c>
      <c r="E24" s="3">
        <f t="shared" si="2"/>
        <v>1307500</v>
      </c>
      <c r="F24" s="37" t="s">
        <v>1188</v>
      </c>
    </row>
    <row r="25" spans="1:6" ht="76.5">
      <c r="A25" s="10" t="s">
        <v>1196</v>
      </c>
      <c r="B25" s="52" t="s">
        <v>1208</v>
      </c>
      <c r="C25" s="11">
        <f t="shared" si="3"/>
        <v>1882499.9999999998</v>
      </c>
      <c r="D25" s="10">
        <v>1</v>
      </c>
      <c r="E25" s="3">
        <f t="shared" si="2"/>
        <v>1882499.9999999998</v>
      </c>
      <c r="F25" s="37" t="s">
        <v>1188</v>
      </c>
    </row>
    <row r="26" spans="1:6" ht="76.5">
      <c r="A26" s="10" t="s">
        <v>1197</v>
      </c>
      <c r="B26" s="52" t="s">
        <v>1209</v>
      </c>
      <c r="C26" s="11">
        <f t="shared" si="3"/>
        <v>2457500</v>
      </c>
      <c r="D26" s="10">
        <v>1</v>
      </c>
      <c r="E26" s="3">
        <f t="shared" si="2"/>
        <v>2457500</v>
      </c>
      <c r="F26" s="37" t="s">
        <v>1188</v>
      </c>
    </row>
    <row r="27" spans="1:6" ht="76.5">
      <c r="A27" s="10" t="s">
        <v>1198</v>
      </c>
      <c r="B27" s="52" t="s">
        <v>1210</v>
      </c>
      <c r="C27" s="11">
        <f t="shared" si="3"/>
        <v>3486000</v>
      </c>
      <c r="D27" s="10">
        <v>1</v>
      </c>
      <c r="E27" s="3">
        <f t="shared" si="2"/>
        <v>3486000</v>
      </c>
      <c r="F27" s="37" t="s">
        <v>1188</v>
      </c>
    </row>
    <row r="28" spans="1:6" ht="88.5" customHeight="1">
      <c r="A28" s="10" t="s">
        <v>1199</v>
      </c>
      <c r="B28" s="52" t="s">
        <v>1211</v>
      </c>
      <c r="C28" s="11">
        <f t="shared" si="3"/>
        <v>5530000</v>
      </c>
      <c r="D28" s="10">
        <v>1</v>
      </c>
      <c r="E28" s="3">
        <f t="shared" si="2"/>
        <v>5530000</v>
      </c>
      <c r="F28" s="37" t="s">
        <v>1188</v>
      </c>
    </row>
    <row r="29" spans="1:6" ht="76.5">
      <c r="A29" s="16" t="s">
        <v>1200</v>
      </c>
      <c r="B29" s="16" t="s">
        <v>1212</v>
      </c>
      <c r="C29" s="11">
        <f>C15+32500+10000</f>
        <v>7275000</v>
      </c>
      <c r="D29" s="10">
        <v>1</v>
      </c>
      <c r="E29" s="3">
        <f t="shared" si="2"/>
        <v>7275000</v>
      </c>
      <c r="F29" s="37" t="s">
        <v>1188</v>
      </c>
    </row>
    <row r="30" spans="1:6" ht="15.75" customHeight="1">
      <c r="A30" s="58" t="s">
        <v>289</v>
      </c>
      <c r="B30" s="59"/>
      <c r="C30" s="59"/>
      <c r="D30" s="59"/>
      <c r="E30" s="59"/>
      <c r="F30" s="60"/>
    </row>
    <row r="31" spans="1:6" ht="38.25">
      <c r="A31" s="18" t="s">
        <v>1148</v>
      </c>
      <c r="B31" s="18" t="s">
        <v>1137</v>
      </c>
      <c r="C31" s="3">
        <f>ROUNDUP((C4-'Сканер-ВС 7.0 BASE ФСТЭК'!C5)*1.1,0)</f>
        <v>31213</v>
      </c>
      <c r="D31" s="10">
        <v>1</v>
      </c>
      <c r="E31" s="3">
        <f>D31*C31</f>
        <v>31213</v>
      </c>
      <c r="F31" s="10" t="s">
        <v>292</v>
      </c>
    </row>
    <row r="32" spans="1:6" ht="38.25">
      <c r="A32" s="18" t="s">
        <v>1149</v>
      </c>
      <c r="B32" s="18" t="s">
        <v>1138</v>
      </c>
      <c r="C32" s="3">
        <f>ROUNDUP((C5-'Сканер-ВС 7.0 BASE ФСТЭК'!C6)*1.1,0)</f>
        <v>52690</v>
      </c>
      <c r="D32" s="10">
        <v>1</v>
      </c>
      <c r="E32" s="3">
        <f t="shared" ref="E32:E35" si="4">D32*C32</f>
        <v>52690</v>
      </c>
      <c r="F32" s="10" t="s">
        <v>292</v>
      </c>
    </row>
    <row r="33" spans="1:6" ht="38.25">
      <c r="A33" s="18" t="s">
        <v>1150</v>
      </c>
      <c r="B33" s="18" t="s">
        <v>1139</v>
      </c>
      <c r="C33" s="3">
        <f>ROUNDUP((C6-'Сканер-ВС 7.0 BASE ФСТЭК'!C7)*1.1,0)</f>
        <v>109230</v>
      </c>
      <c r="D33" s="10">
        <v>1</v>
      </c>
      <c r="E33" s="3">
        <f t="shared" si="4"/>
        <v>109230</v>
      </c>
      <c r="F33" s="10" t="s">
        <v>292</v>
      </c>
    </row>
    <row r="34" spans="1:6" ht="38.25">
      <c r="A34" s="18" t="s">
        <v>1151</v>
      </c>
      <c r="B34" s="18" t="s">
        <v>1140</v>
      </c>
      <c r="C34" s="3">
        <f>ROUNDUP((C7-'Сканер-ВС 7.0 BASE ФСТЭК'!C8)*1.1,0)</f>
        <v>164780</v>
      </c>
      <c r="D34" s="10">
        <v>1</v>
      </c>
      <c r="E34" s="3">
        <f t="shared" si="4"/>
        <v>164780</v>
      </c>
      <c r="F34" s="10" t="s">
        <v>292</v>
      </c>
    </row>
    <row r="35" spans="1:6" ht="38.25">
      <c r="A35" s="18" t="s">
        <v>1152</v>
      </c>
      <c r="B35" s="18" t="s">
        <v>1141</v>
      </c>
      <c r="C35" s="3">
        <f>ROUNDUP((C8-'Сканер-ВС 7.0 BASE ФСТЭК'!C9)*1.1,0)</f>
        <v>219038</v>
      </c>
      <c r="D35" s="10">
        <v>1</v>
      </c>
      <c r="E35" s="3">
        <f t="shared" si="4"/>
        <v>219038</v>
      </c>
      <c r="F35" s="10" t="s">
        <v>292</v>
      </c>
    </row>
    <row r="36" spans="1:6" ht="38.25">
      <c r="A36" s="18" t="s">
        <v>290</v>
      </c>
      <c r="B36" s="18" t="s">
        <v>291</v>
      </c>
      <c r="C36" s="3">
        <f>ROUNDUP((C9-'Сканер-ВС 7.0 BASE ФСТЭК'!C10)*1.1,0)</f>
        <v>462990</v>
      </c>
      <c r="D36" s="10">
        <v>1</v>
      </c>
      <c r="E36" s="3">
        <f t="shared" ref="E36:E42" si="5">D36*C36</f>
        <v>462990</v>
      </c>
      <c r="F36" s="10" t="s">
        <v>292</v>
      </c>
    </row>
    <row r="37" spans="1:6" ht="38.25">
      <c r="A37" s="18" t="s">
        <v>293</v>
      </c>
      <c r="B37" s="18" t="s">
        <v>294</v>
      </c>
      <c r="C37" s="3">
        <f>ROUNDUP((C10-'Сканер-ВС 7.0 BASE ФСТЭК'!C11)*1.1,0)</f>
        <v>931040</v>
      </c>
      <c r="D37" s="10">
        <v>1</v>
      </c>
      <c r="E37" s="3">
        <f t="shared" si="5"/>
        <v>931040</v>
      </c>
      <c r="F37" s="10" t="s">
        <v>292</v>
      </c>
    </row>
    <row r="38" spans="1:6" ht="38.25">
      <c r="A38" s="18" t="s">
        <v>295</v>
      </c>
      <c r="B38" s="18" t="s">
        <v>296</v>
      </c>
      <c r="C38" s="3">
        <f>ROUNDUP((C11-'Сканер-ВС 7.0 BASE ФСТЭК'!C12)*1.1,0)</f>
        <v>1218195</v>
      </c>
      <c r="D38" s="10">
        <v>1</v>
      </c>
      <c r="E38" s="3">
        <f t="shared" si="5"/>
        <v>1218195</v>
      </c>
      <c r="F38" s="10" t="s">
        <v>292</v>
      </c>
    </row>
    <row r="39" spans="1:6" ht="38.25">
      <c r="A39" s="18" t="s">
        <v>297</v>
      </c>
      <c r="B39" s="18" t="s">
        <v>298</v>
      </c>
      <c r="C39" s="3">
        <f>ROUNDUP((C12-'Сканер-ВС 7.0 BASE ФСТЭК'!C13)*1.1,0)</f>
        <v>1340900</v>
      </c>
      <c r="D39" s="10">
        <v>1</v>
      </c>
      <c r="E39" s="3">
        <f t="shared" si="5"/>
        <v>1340900</v>
      </c>
      <c r="F39" s="10" t="s">
        <v>292</v>
      </c>
    </row>
    <row r="40" spans="1:6" ht="38.25">
      <c r="A40" s="18" t="s">
        <v>299</v>
      </c>
      <c r="B40" s="18" t="s">
        <v>300</v>
      </c>
      <c r="C40" s="3">
        <f>ROUNDUP((C13-'Сканер-ВС 7.0 BASE ФСТЭК'!C14)*1.1,0)</f>
        <v>1650000</v>
      </c>
      <c r="D40" s="10">
        <v>1</v>
      </c>
      <c r="E40" s="3">
        <f t="shared" si="5"/>
        <v>1650000</v>
      </c>
      <c r="F40" s="10" t="s">
        <v>292</v>
      </c>
    </row>
    <row r="41" spans="1:6" ht="38.25">
      <c r="A41" s="18" t="s">
        <v>301</v>
      </c>
      <c r="B41" s="18" t="s">
        <v>302</v>
      </c>
      <c r="C41" s="3">
        <f>ROUNDUP((C14-'Сканер-ВС 7.0 BASE ФСТЭК'!C15)*1.1,0)</f>
        <v>1925000</v>
      </c>
      <c r="D41" s="10">
        <v>1</v>
      </c>
      <c r="E41" s="3">
        <f t="shared" si="5"/>
        <v>1925000</v>
      </c>
      <c r="F41" s="10" t="s">
        <v>292</v>
      </c>
    </row>
    <row r="42" spans="1:6" ht="38.25">
      <c r="A42" s="18" t="s">
        <v>303</v>
      </c>
      <c r="B42" s="18" t="s">
        <v>304</v>
      </c>
      <c r="C42" s="3">
        <f>ROUNDUP((C15-'Сканер-ВС 7.0 BASE ФСТЭК'!C16)*1.1,0)</f>
        <v>2200000</v>
      </c>
      <c r="D42" s="10">
        <v>1</v>
      </c>
      <c r="E42" s="3">
        <f t="shared" si="5"/>
        <v>2200000</v>
      </c>
      <c r="F42" s="10" t="s">
        <v>292</v>
      </c>
    </row>
    <row r="43" spans="1:6" ht="15.75">
      <c r="A43" s="58" t="s">
        <v>112</v>
      </c>
      <c r="B43" s="59"/>
      <c r="C43" s="59"/>
      <c r="D43" s="59"/>
      <c r="E43" s="59"/>
      <c r="F43" s="60"/>
    </row>
    <row r="44" spans="1:6" ht="33.75" customHeight="1">
      <c r="A44" s="18" t="s">
        <v>305</v>
      </c>
      <c r="B44" s="18" t="s">
        <v>306</v>
      </c>
      <c r="C44" s="3">
        <f>7000*1.2</f>
        <v>8400</v>
      </c>
      <c r="D44" s="10">
        <v>1</v>
      </c>
      <c r="E44" s="3">
        <f t="shared" ref="E44:E45" si="6">D44*C44</f>
        <v>8400</v>
      </c>
      <c r="F44" s="10" t="s">
        <v>307</v>
      </c>
    </row>
    <row r="45" spans="1:6" ht="34.5" customHeight="1">
      <c r="A45" s="18" t="s">
        <v>308</v>
      </c>
      <c r="B45" s="18" t="s">
        <v>309</v>
      </c>
      <c r="C45" s="3">
        <f>6000*1.2</f>
        <v>7200</v>
      </c>
      <c r="D45" s="10">
        <v>1</v>
      </c>
      <c r="E45" s="3">
        <f t="shared" si="6"/>
        <v>7200</v>
      </c>
      <c r="F45" s="10" t="s">
        <v>307</v>
      </c>
    </row>
    <row r="46" spans="1:6" ht="39" customHeight="1">
      <c r="A46" s="18" t="s">
        <v>310</v>
      </c>
      <c r="B46" s="18" t="s">
        <v>311</v>
      </c>
      <c r="C46" s="3">
        <f>5000*1.2</f>
        <v>6000</v>
      </c>
      <c r="D46" s="10">
        <v>1</v>
      </c>
      <c r="E46" s="3">
        <f t="shared" ref="E46:E47" si="7">D46*C46</f>
        <v>6000</v>
      </c>
      <c r="F46" s="10" t="s">
        <v>307</v>
      </c>
    </row>
    <row r="47" spans="1:6" ht="36" customHeight="1">
      <c r="A47" s="18" t="s">
        <v>312</v>
      </c>
      <c r="B47" s="18" t="s">
        <v>313</v>
      </c>
      <c r="C47" s="3">
        <v>4800</v>
      </c>
      <c r="D47" s="10">
        <v>1</v>
      </c>
      <c r="E47" s="3">
        <f t="shared" si="7"/>
        <v>4800</v>
      </c>
      <c r="F47" s="10" t="s">
        <v>307</v>
      </c>
    </row>
    <row r="48" spans="1:6" ht="19.5">
      <c r="A48" s="65" t="s">
        <v>17</v>
      </c>
      <c r="B48" s="66"/>
      <c r="C48" s="66"/>
      <c r="D48" s="66"/>
      <c r="E48" s="66"/>
      <c r="F48" s="67"/>
    </row>
    <row r="49" spans="1:6" ht="15.75">
      <c r="A49" s="58" t="s">
        <v>15</v>
      </c>
      <c r="B49" s="59"/>
      <c r="C49" s="59"/>
      <c r="D49" s="59"/>
      <c r="E49" s="59"/>
      <c r="F49" s="60"/>
    </row>
    <row r="50" spans="1:6" ht="63.75">
      <c r="A50" s="18" t="s">
        <v>1153</v>
      </c>
      <c r="B50" s="18" t="s">
        <v>1142</v>
      </c>
      <c r="C50" s="11">
        <f t="shared" ref="C50:C61" si="8">C4*0.4</f>
        <v>24000</v>
      </c>
      <c r="D50" s="10">
        <v>1</v>
      </c>
      <c r="E50" s="3">
        <f t="shared" ref="E50:E54" si="9">D50*C50</f>
        <v>24000</v>
      </c>
      <c r="F50" s="10" t="s">
        <v>1147</v>
      </c>
    </row>
    <row r="51" spans="1:6" ht="63.75">
      <c r="A51" s="18" t="s">
        <v>1154</v>
      </c>
      <c r="B51" s="18" t="s">
        <v>1143</v>
      </c>
      <c r="C51" s="11">
        <f t="shared" si="8"/>
        <v>44000</v>
      </c>
      <c r="D51" s="10">
        <v>1</v>
      </c>
      <c r="E51" s="3">
        <f t="shared" si="9"/>
        <v>44000</v>
      </c>
      <c r="F51" s="10" t="s">
        <v>1147</v>
      </c>
    </row>
    <row r="52" spans="1:6" ht="63.75">
      <c r="A52" s="18" t="s">
        <v>1155</v>
      </c>
      <c r="B52" s="18" t="s">
        <v>1144</v>
      </c>
      <c r="C52" s="11">
        <f t="shared" si="8"/>
        <v>75600</v>
      </c>
      <c r="D52" s="10">
        <v>1</v>
      </c>
      <c r="E52" s="3">
        <f t="shared" si="9"/>
        <v>75600</v>
      </c>
      <c r="F52" s="10" t="s">
        <v>1147</v>
      </c>
    </row>
    <row r="53" spans="1:6" ht="63.75">
      <c r="A53" s="18" t="s">
        <v>1156</v>
      </c>
      <c r="B53" s="18" t="s">
        <v>1145</v>
      </c>
      <c r="C53" s="11">
        <f t="shared" si="8"/>
        <v>109600</v>
      </c>
      <c r="D53" s="10">
        <v>1</v>
      </c>
      <c r="E53" s="3">
        <f t="shared" si="9"/>
        <v>109600</v>
      </c>
      <c r="F53" s="10" t="s">
        <v>1147</v>
      </c>
    </row>
    <row r="54" spans="1:6" ht="63.75">
      <c r="A54" s="18" t="s">
        <v>1157</v>
      </c>
      <c r="B54" s="18" t="s">
        <v>1146</v>
      </c>
      <c r="C54" s="11">
        <f t="shared" si="8"/>
        <v>154400</v>
      </c>
      <c r="D54" s="10">
        <v>1</v>
      </c>
      <c r="E54" s="3">
        <f t="shared" si="9"/>
        <v>154400</v>
      </c>
      <c r="F54" s="10" t="s">
        <v>316</v>
      </c>
    </row>
    <row r="55" spans="1:6" ht="63.75">
      <c r="A55" s="18" t="s">
        <v>314</v>
      </c>
      <c r="B55" s="18" t="s">
        <v>315</v>
      </c>
      <c r="C55" s="11">
        <f t="shared" si="8"/>
        <v>276000</v>
      </c>
      <c r="D55" s="10">
        <v>1</v>
      </c>
      <c r="E55" s="3">
        <f t="shared" ref="E55:E61" si="10">D55*C55</f>
        <v>276000</v>
      </c>
      <c r="F55" s="10" t="s">
        <v>316</v>
      </c>
    </row>
    <row r="56" spans="1:6" ht="63.75">
      <c r="A56" s="18" t="s">
        <v>317</v>
      </c>
      <c r="B56" s="18" t="s">
        <v>318</v>
      </c>
      <c r="C56" s="11">
        <f t="shared" si="8"/>
        <v>506000</v>
      </c>
      <c r="D56" s="10">
        <v>1</v>
      </c>
      <c r="E56" s="3">
        <f t="shared" si="10"/>
        <v>506000</v>
      </c>
      <c r="F56" s="10" t="s">
        <v>316</v>
      </c>
    </row>
    <row r="57" spans="1:6" ht="63.75">
      <c r="A57" s="18" t="s">
        <v>319</v>
      </c>
      <c r="B57" s="18" t="s">
        <v>320</v>
      </c>
      <c r="C57" s="11">
        <f t="shared" si="8"/>
        <v>736000</v>
      </c>
      <c r="D57" s="10">
        <v>1</v>
      </c>
      <c r="E57" s="3">
        <f t="shared" si="10"/>
        <v>736000</v>
      </c>
      <c r="F57" s="10" t="s">
        <v>316</v>
      </c>
    </row>
    <row r="58" spans="1:6" ht="63.75">
      <c r="A58" s="18" t="s">
        <v>321</v>
      </c>
      <c r="B58" s="18" t="s">
        <v>322</v>
      </c>
      <c r="C58" s="11">
        <f t="shared" si="8"/>
        <v>966000</v>
      </c>
      <c r="D58" s="10">
        <v>1</v>
      </c>
      <c r="E58" s="3">
        <f t="shared" si="10"/>
        <v>966000</v>
      </c>
      <c r="F58" s="10" t="s">
        <v>316</v>
      </c>
    </row>
    <row r="59" spans="1:6" ht="63.75">
      <c r="A59" s="18" t="s">
        <v>323</v>
      </c>
      <c r="B59" s="18" t="s">
        <v>324</v>
      </c>
      <c r="C59" s="11">
        <f t="shared" si="8"/>
        <v>1377400</v>
      </c>
      <c r="D59" s="10">
        <v>1</v>
      </c>
      <c r="E59" s="3">
        <f t="shared" si="10"/>
        <v>1377400</v>
      </c>
      <c r="F59" s="10" t="s">
        <v>316</v>
      </c>
    </row>
    <row r="60" spans="1:6" ht="63.75">
      <c r="A60" s="18" t="s">
        <v>325</v>
      </c>
      <c r="B60" s="18" t="s">
        <v>326</v>
      </c>
      <c r="C60" s="11">
        <f t="shared" si="8"/>
        <v>2195000</v>
      </c>
      <c r="D60" s="10">
        <v>1</v>
      </c>
      <c r="E60" s="3">
        <f t="shared" si="10"/>
        <v>2195000</v>
      </c>
      <c r="F60" s="10" t="s">
        <v>327</v>
      </c>
    </row>
    <row r="61" spans="1:6" ht="63.75">
      <c r="A61" s="18" t="s">
        <v>328</v>
      </c>
      <c r="B61" s="18" t="s">
        <v>329</v>
      </c>
      <c r="C61" s="11">
        <f t="shared" si="8"/>
        <v>2893000</v>
      </c>
      <c r="D61" s="10">
        <v>1</v>
      </c>
      <c r="E61" s="3">
        <f t="shared" si="10"/>
        <v>2893000</v>
      </c>
      <c r="F61" s="10" t="s">
        <v>316</v>
      </c>
    </row>
    <row r="62" spans="1:6" ht="15.75">
      <c r="A62" s="58" t="s">
        <v>330</v>
      </c>
      <c r="B62" s="59"/>
      <c r="C62" s="59"/>
      <c r="D62" s="59"/>
      <c r="E62" s="59"/>
      <c r="F62" s="60"/>
    </row>
    <row r="63" spans="1:6" ht="25.5">
      <c r="A63" s="18" t="s">
        <v>331</v>
      </c>
      <c r="B63" s="18" t="s">
        <v>332</v>
      </c>
      <c r="C63" s="3">
        <f>C44*0.4</f>
        <v>3360</v>
      </c>
      <c r="D63" s="10">
        <v>1</v>
      </c>
      <c r="E63" s="3">
        <f t="shared" ref="E63:E64" si="11">D63*C63</f>
        <v>3360</v>
      </c>
      <c r="F63" s="10" t="s">
        <v>307</v>
      </c>
    </row>
    <row r="64" spans="1:6" ht="25.5">
      <c r="A64" s="18" t="s">
        <v>333</v>
      </c>
      <c r="B64" s="18" t="s">
        <v>334</v>
      </c>
      <c r="C64" s="3">
        <f>C45*0.4</f>
        <v>2880</v>
      </c>
      <c r="D64" s="10">
        <v>1</v>
      </c>
      <c r="E64" s="3">
        <f t="shared" si="11"/>
        <v>2880</v>
      </c>
      <c r="F64" s="10" t="s">
        <v>307</v>
      </c>
    </row>
    <row r="65" spans="1:6" ht="25.5">
      <c r="A65" s="18" t="s">
        <v>335</v>
      </c>
      <c r="B65" s="18" t="s">
        <v>336</v>
      </c>
      <c r="C65" s="3">
        <f>C46*0.4</f>
        <v>2400</v>
      </c>
      <c r="D65" s="10">
        <v>1</v>
      </c>
      <c r="E65" s="3">
        <f t="shared" ref="E65:E66" si="12">D65*C65</f>
        <v>2400</v>
      </c>
      <c r="F65" s="10" t="s">
        <v>307</v>
      </c>
    </row>
    <row r="66" spans="1:6">
      <c r="A66" s="18" t="s">
        <v>337</v>
      </c>
      <c r="B66" s="18" t="s">
        <v>338</v>
      </c>
      <c r="C66" s="3">
        <f>C47*0.4</f>
        <v>1920</v>
      </c>
      <c r="D66" s="10">
        <v>1</v>
      </c>
      <c r="E66" s="3">
        <f t="shared" si="12"/>
        <v>1920</v>
      </c>
      <c r="F66" s="10" t="s">
        <v>307</v>
      </c>
    </row>
    <row r="67" spans="1:6" ht="21.75">
      <c r="A67" s="27" t="s">
        <v>180</v>
      </c>
      <c r="B67" s="22"/>
    </row>
    <row r="68" spans="1:6" ht="120">
      <c r="A68" s="24" t="s">
        <v>339</v>
      </c>
      <c r="B68" s="25" t="s">
        <v>182</v>
      </c>
    </row>
    <row r="69" spans="1:6" ht="45">
      <c r="A69" s="24" t="s">
        <v>185</v>
      </c>
      <c r="B69" s="25" t="s">
        <v>186</v>
      </c>
    </row>
    <row r="70" spans="1:6">
      <c r="A70" s="24" t="s">
        <v>187</v>
      </c>
      <c r="B70" s="23" t="s">
        <v>188</v>
      </c>
    </row>
  </sheetData>
  <mergeCells count="9">
    <mergeCell ref="A1:F1"/>
    <mergeCell ref="A49:F49"/>
    <mergeCell ref="A62:F62"/>
    <mergeCell ref="A3:F3"/>
    <mergeCell ref="A43:F43"/>
    <mergeCell ref="A48:F48"/>
    <mergeCell ref="A30:F30"/>
    <mergeCell ref="A16:F16"/>
    <mergeCell ref="A17:F17"/>
  </mergeCells>
  <hyperlinks>
    <hyperlink ref="B70" r:id="rId1" xr:uid="{00000000-0004-0000-05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F56"/>
  <sheetViews>
    <sheetView zoomScale="90" zoomScaleNormal="90" workbookViewId="0">
      <selection activeCell="G2" sqref="G1:J1048576"/>
    </sheetView>
  </sheetViews>
  <sheetFormatPr defaultColWidth="8.7109375" defaultRowHeight="15"/>
  <cols>
    <col min="1" max="1" width="26.42578125" customWidth="1"/>
    <col min="2" max="2" width="60" customWidth="1"/>
    <col min="3" max="5" width="14.42578125" customWidth="1"/>
    <col min="6" max="6" width="60" customWidth="1"/>
  </cols>
  <sheetData>
    <row r="1" spans="1:6" ht="17.25">
      <c r="A1" s="64" t="s">
        <v>340</v>
      </c>
      <c r="B1" s="57"/>
      <c r="C1" s="57"/>
      <c r="D1" s="57"/>
      <c r="E1" s="57"/>
      <c r="F1" s="57"/>
    </row>
    <row r="2" spans="1:6">
      <c r="A2" s="8" t="s">
        <v>11</v>
      </c>
      <c r="B2" s="8" t="s">
        <v>12</v>
      </c>
      <c r="C2" s="8" t="s">
        <v>18</v>
      </c>
      <c r="D2" s="8" t="s">
        <v>273</v>
      </c>
      <c r="E2" s="8" t="s">
        <v>20</v>
      </c>
      <c r="F2" s="8" t="s">
        <v>14</v>
      </c>
    </row>
    <row r="3" spans="1:6" ht="15.75">
      <c r="A3" s="54" t="s">
        <v>15</v>
      </c>
      <c r="B3" s="55"/>
      <c r="C3" s="55"/>
      <c r="D3" s="55"/>
      <c r="E3" s="55"/>
      <c r="F3" s="56"/>
    </row>
    <row r="4" spans="1:6" ht="76.5">
      <c r="A4" s="10" t="s">
        <v>341</v>
      </c>
      <c r="B4" s="18" t="s">
        <v>886</v>
      </c>
      <c r="C4" s="3">
        <f>60000</f>
        <v>60000</v>
      </c>
      <c r="D4" s="10">
        <v>1</v>
      </c>
      <c r="E4" s="3">
        <f>D4*C4</f>
        <v>60000</v>
      </c>
      <c r="F4" s="10" t="s">
        <v>342</v>
      </c>
    </row>
    <row r="5" spans="1:6" ht="76.5">
      <c r="A5" s="10" t="s">
        <v>343</v>
      </c>
      <c r="B5" s="18" t="s">
        <v>887</v>
      </c>
      <c r="C5" s="3">
        <f>110000</f>
        <v>110000</v>
      </c>
      <c r="D5" s="10">
        <v>1</v>
      </c>
      <c r="E5" s="3">
        <f t="shared" ref="E5:E15" si="0">D5*C5</f>
        <v>110000</v>
      </c>
      <c r="F5" s="10" t="s">
        <v>342</v>
      </c>
    </row>
    <row r="6" spans="1:6" ht="76.5">
      <c r="A6" s="10" t="s">
        <v>344</v>
      </c>
      <c r="B6" s="18" t="s">
        <v>888</v>
      </c>
      <c r="C6" s="3">
        <f>189000</f>
        <v>189000</v>
      </c>
      <c r="D6" s="10">
        <v>1</v>
      </c>
      <c r="E6" s="3">
        <f t="shared" si="0"/>
        <v>189000</v>
      </c>
      <c r="F6" s="10" t="s">
        <v>342</v>
      </c>
    </row>
    <row r="7" spans="1:6" ht="76.5">
      <c r="A7" s="10" t="s">
        <v>345</v>
      </c>
      <c r="B7" s="18" t="s">
        <v>889</v>
      </c>
      <c r="C7" s="3">
        <v>274000</v>
      </c>
      <c r="D7" s="10">
        <v>1</v>
      </c>
      <c r="E7" s="3">
        <f t="shared" si="0"/>
        <v>274000</v>
      </c>
      <c r="F7" s="10" t="s">
        <v>342</v>
      </c>
    </row>
    <row r="8" spans="1:6" ht="76.5">
      <c r="A8" s="10" t="s">
        <v>346</v>
      </c>
      <c r="B8" s="18" t="s">
        <v>890</v>
      </c>
      <c r="C8" s="3">
        <f>386000</f>
        <v>386000</v>
      </c>
      <c r="D8" s="10">
        <v>1</v>
      </c>
      <c r="E8" s="3">
        <f t="shared" si="0"/>
        <v>386000</v>
      </c>
      <c r="F8" s="10" t="s">
        <v>342</v>
      </c>
    </row>
    <row r="9" spans="1:6" ht="76.5">
      <c r="A9" s="10" t="s">
        <v>347</v>
      </c>
      <c r="B9" s="18" t="s">
        <v>891</v>
      </c>
      <c r="C9" s="3">
        <f>600000*1.15</f>
        <v>690000</v>
      </c>
      <c r="D9" s="10">
        <v>1</v>
      </c>
      <c r="E9" s="3">
        <f t="shared" si="0"/>
        <v>690000</v>
      </c>
      <c r="F9" s="10" t="s">
        <v>342</v>
      </c>
    </row>
    <row r="10" spans="1:6" ht="76.5">
      <c r="A10" s="10" t="s">
        <v>348</v>
      </c>
      <c r="B10" s="18" t="s">
        <v>892</v>
      </c>
      <c r="C10" s="3">
        <f>1100000*1.15</f>
        <v>1265000</v>
      </c>
      <c r="D10" s="10">
        <v>1</v>
      </c>
      <c r="E10" s="3">
        <f t="shared" si="0"/>
        <v>1265000</v>
      </c>
      <c r="F10" s="10" t="s">
        <v>342</v>
      </c>
    </row>
    <row r="11" spans="1:6" ht="76.5">
      <c r="A11" s="10" t="s">
        <v>349</v>
      </c>
      <c r="B11" s="18" t="s">
        <v>893</v>
      </c>
      <c r="C11" s="3">
        <f>1600000*1.15</f>
        <v>1839999.9999999998</v>
      </c>
      <c r="D11" s="10">
        <v>1</v>
      </c>
      <c r="E11" s="3">
        <f t="shared" si="0"/>
        <v>1839999.9999999998</v>
      </c>
      <c r="F11" s="10" t="s">
        <v>342</v>
      </c>
    </row>
    <row r="12" spans="1:6" ht="76.5">
      <c r="A12" s="10" t="s">
        <v>350</v>
      </c>
      <c r="B12" s="18" t="s">
        <v>894</v>
      </c>
      <c r="C12" s="3">
        <f>2100000*1.15</f>
        <v>2415000</v>
      </c>
      <c r="D12" s="10">
        <v>1</v>
      </c>
      <c r="E12" s="3">
        <f t="shared" si="0"/>
        <v>2415000</v>
      </c>
      <c r="F12" s="10" t="s">
        <v>342</v>
      </c>
    </row>
    <row r="13" spans="1:6" ht="76.5">
      <c r="A13" s="10" t="s">
        <v>351</v>
      </c>
      <c r="B13" s="18" t="s">
        <v>895</v>
      </c>
      <c r="C13" s="3">
        <f>'Сканер-ВС 7.0 BASE ФСТЭК'!C14+1500000</f>
        <v>3443500</v>
      </c>
      <c r="D13" s="10">
        <v>1</v>
      </c>
      <c r="E13" s="3">
        <f t="shared" si="0"/>
        <v>3443500</v>
      </c>
      <c r="F13" s="10" t="s">
        <v>342</v>
      </c>
    </row>
    <row r="14" spans="1:6" ht="76.5">
      <c r="A14" s="10" t="s">
        <v>352</v>
      </c>
      <c r="B14" s="18" t="s">
        <v>896</v>
      </c>
      <c r="C14" s="3">
        <f>'Сканер-ВС 7.0 BASE ФСТЭК'!C15+1750000</f>
        <v>5487500</v>
      </c>
      <c r="D14" s="10">
        <v>1</v>
      </c>
      <c r="E14" s="3">
        <f t="shared" si="0"/>
        <v>5487500</v>
      </c>
      <c r="F14" s="10" t="s">
        <v>342</v>
      </c>
    </row>
    <row r="15" spans="1:6" ht="76.5">
      <c r="A15" s="10" t="s">
        <v>353</v>
      </c>
      <c r="B15" s="18" t="s">
        <v>897</v>
      </c>
      <c r="C15" s="3">
        <f>'Сканер-ВС 7.0 BASE ФСТЭК'!C16+2000000</f>
        <v>7232500</v>
      </c>
      <c r="D15" s="10">
        <v>1</v>
      </c>
      <c r="E15" s="3">
        <f t="shared" si="0"/>
        <v>7232500</v>
      </c>
      <c r="F15" s="10" t="s">
        <v>342</v>
      </c>
    </row>
    <row r="16" spans="1:6" ht="15.75">
      <c r="A16" s="58" t="s">
        <v>289</v>
      </c>
      <c r="B16" s="59"/>
      <c r="C16" s="59"/>
      <c r="D16" s="59"/>
      <c r="E16" s="59"/>
      <c r="F16" s="60"/>
    </row>
    <row r="17" spans="1:6" ht="51">
      <c r="A17" s="18" t="s">
        <v>354</v>
      </c>
      <c r="B17" s="18" t="s">
        <v>898</v>
      </c>
      <c r="C17" s="3">
        <f>ROUNDUP((C4-'Сканер-ВС 7.0 BASE ФСТЭК'!C5)*1.1,0)</f>
        <v>31213</v>
      </c>
      <c r="D17" s="10">
        <v>1</v>
      </c>
      <c r="E17" s="3">
        <f>D17*C17</f>
        <v>31213</v>
      </c>
      <c r="F17" s="10" t="s">
        <v>355</v>
      </c>
    </row>
    <row r="18" spans="1:6" ht="51">
      <c r="A18" s="18" t="s">
        <v>356</v>
      </c>
      <c r="B18" s="18" t="s">
        <v>899</v>
      </c>
      <c r="C18" s="3">
        <f>ROUNDUP((C5-'Сканер-ВС 7.0 BASE ФСТЭК'!C6)*1.1,0)</f>
        <v>52690</v>
      </c>
      <c r="D18" s="10">
        <v>1</v>
      </c>
      <c r="E18" s="3">
        <f t="shared" ref="E18:E28" si="1">D18*C18</f>
        <v>52690</v>
      </c>
      <c r="F18" s="10" t="s">
        <v>355</v>
      </c>
    </row>
    <row r="19" spans="1:6" ht="51">
      <c r="A19" s="18" t="s">
        <v>357</v>
      </c>
      <c r="B19" s="18" t="s">
        <v>900</v>
      </c>
      <c r="C19" s="3">
        <f>ROUNDUP((C6-'Сканер-ВС 7.0 BASE ФСТЭК'!C7)*1.1,0)</f>
        <v>109230</v>
      </c>
      <c r="D19" s="10">
        <v>1</v>
      </c>
      <c r="E19" s="3">
        <f t="shared" si="1"/>
        <v>109230</v>
      </c>
      <c r="F19" s="10" t="s">
        <v>355</v>
      </c>
    </row>
    <row r="20" spans="1:6" ht="51">
      <c r="A20" s="18" t="s">
        <v>358</v>
      </c>
      <c r="B20" s="18" t="s">
        <v>901</v>
      </c>
      <c r="C20" s="3">
        <f>ROUNDUP((C7-'Сканер-ВС 7.0 BASE ФСТЭК'!C8)*1.1,0)</f>
        <v>164780</v>
      </c>
      <c r="D20" s="10">
        <v>1</v>
      </c>
      <c r="E20" s="3">
        <f t="shared" si="1"/>
        <v>164780</v>
      </c>
      <c r="F20" s="10" t="s">
        <v>355</v>
      </c>
    </row>
    <row r="21" spans="1:6" ht="51">
      <c r="A21" s="18" t="s">
        <v>359</v>
      </c>
      <c r="B21" s="18" t="s">
        <v>902</v>
      </c>
      <c r="C21" s="3">
        <f>ROUNDUP((C8-'Сканер-ВС 7.0 BASE ФСТЭК'!C9)*1.1,0)</f>
        <v>219038</v>
      </c>
      <c r="D21" s="10">
        <v>1</v>
      </c>
      <c r="E21" s="3">
        <f t="shared" si="1"/>
        <v>219038</v>
      </c>
      <c r="F21" s="10" t="s">
        <v>355</v>
      </c>
    </row>
    <row r="22" spans="1:6" ht="51">
      <c r="A22" s="18" t="s">
        <v>360</v>
      </c>
      <c r="B22" s="18" t="s">
        <v>903</v>
      </c>
      <c r="C22" s="3">
        <f>ROUNDUP((C9-'Сканер-ВС 7.0 BASE ФСТЭК'!C10)*1.1,0)</f>
        <v>462990</v>
      </c>
      <c r="D22" s="10">
        <v>1</v>
      </c>
      <c r="E22" s="3">
        <f t="shared" si="1"/>
        <v>462990</v>
      </c>
      <c r="F22" s="10" t="s">
        <v>355</v>
      </c>
    </row>
    <row r="23" spans="1:6" ht="51">
      <c r="A23" s="18" t="s">
        <v>361</v>
      </c>
      <c r="B23" s="18" t="s">
        <v>904</v>
      </c>
      <c r="C23" s="3">
        <f>ROUNDUP((C10-'Сканер-ВС 7.0 BASE ФСТЭК'!C11)*1.1,0)</f>
        <v>931040</v>
      </c>
      <c r="D23" s="10">
        <v>1</v>
      </c>
      <c r="E23" s="3">
        <f t="shared" si="1"/>
        <v>931040</v>
      </c>
      <c r="F23" s="10" t="s">
        <v>355</v>
      </c>
    </row>
    <row r="24" spans="1:6" ht="51">
      <c r="A24" s="18" t="s">
        <v>362</v>
      </c>
      <c r="B24" s="18" t="s">
        <v>905</v>
      </c>
      <c r="C24" s="3">
        <f>ROUNDUP((C11-'Сканер-ВС 7.0 BASE ФСТЭК'!C12)*1.1,0)</f>
        <v>1218195</v>
      </c>
      <c r="D24" s="10">
        <v>1</v>
      </c>
      <c r="E24" s="3">
        <f t="shared" si="1"/>
        <v>1218195</v>
      </c>
      <c r="F24" s="10" t="s">
        <v>355</v>
      </c>
    </row>
    <row r="25" spans="1:6" ht="51">
      <c r="A25" s="18" t="s">
        <v>363</v>
      </c>
      <c r="B25" s="18" t="s">
        <v>906</v>
      </c>
      <c r="C25" s="3">
        <f>ROUNDUP((C12-'Сканер-ВС 7.0 BASE ФСТЭК'!C13)*1.1,0)</f>
        <v>1340900</v>
      </c>
      <c r="D25" s="10">
        <v>1</v>
      </c>
      <c r="E25" s="3">
        <f t="shared" si="1"/>
        <v>1340900</v>
      </c>
      <c r="F25" s="10" t="s">
        <v>355</v>
      </c>
    </row>
    <row r="26" spans="1:6" ht="51">
      <c r="A26" s="18" t="s">
        <v>364</v>
      </c>
      <c r="B26" s="18" t="s">
        <v>907</v>
      </c>
      <c r="C26" s="3">
        <f>ROUNDUP((C13-'Сканер-ВС 7.0 BASE ФСТЭК'!C14)*1.1,0)</f>
        <v>1650000</v>
      </c>
      <c r="D26" s="10">
        <v>1</v>
      </c>
      <c r="E26" s="3">
        <f t="shared" si="1"/>
        <v>1650000</v>
      </c>
      <c r="F26" s="10" t="s">
        <v>355</v>
      </c>
    </row>
    <row r="27" spans="1:6" ht="51">
      <c r="A27" s="18" t="s">
        <v>365</v>
      </c>
      <c r="B27" s="18" t="s">
        <v>908</v>
      </c>
      <c r="C27" s="3">
        <f>ROUNDUP((C14-'Сканер-ВС 7.0 BASE ФСТЭК'!C15)*1.1,0)</f>
        <v>1925000</v>
      </c>
      <c r="D27" s="10">
        <v>1</v>
      </c>
      <c r="E27" s="3">
        <f t="shared" si="1"/>
        <v>1925000</v>
      </c>
      <c r="F27" s="10" t="s">
        <v>355</v>
      </c>
    </row>
    <row r="28" spans="1:6" ht="51">
      <c r="A28" s="18" t="s">
        <v>366</v>
      </c>
      <c r="B28" s="29" t="s">
        <v>909</v>
      </c>
      <c r="C28" s="3">
        <f>ROUNDUP((C15-'Сканер-ВС 7.0 BASE ФСТЭК'!C16)*1.1,0)</f>
        <v>2200000</v>
      </c>
      <c r="D28" s="10">
        <v>1</v>
      </c>
      <c r="E28" s="3">
        <f t="shared" si="1"/>
        <v>2200000</v>
      </c>
      <c r="F28" s="10" t="s">
        <v>355</v>
      </c>
    </row>
    <row r="29" spans="1:6" ht="15.75">
      <c r="A29" s="58" t="s">
        <v>112</v>
      </c>
      <c r="B29" s="59"/>
      <c r="C29" s="59"/>
      <c r="D29" s="59"/>
      <c r="E29" s="59"/>
      <c r="F29" s="60"/>
    </row>
    <row r="30" spans="1:6" ht="38.25">
      <c r="A30" s="18" t="s">
        <v>367</v>
      </c>
      <c r="B30" s="18" t="s">
        <v>910</v>
      </c>
      <c r="C30" s="3">
        <f>7000*1.2</f>
        <v>8400</v>
      </c>
      <c r="D30" s="10">
        <v>1</v>
      </c>
      <c r="E30" s="3">
        <f t="shared" ref="E30:E33" si="2">D30*C30</f>
        <v>8400</v>
      </c>
      <c r="F30" s="10" t="s">
        <v>368</v>
      </c>
    </row>
    <row r="31" spans="1:6" ht="38.25">
      <c r="A31" s="18" t="s">
        <v>369</v>
      </c>
      <c r="B31" s="18" t="s">
        <v>911</v>
      </c>
      <c r="C31" s="3">
        <f>6000*1.2</f>
        <v>7200</v>
      </c>
      <c r="D31" s="10">
        <v>1</v>
      </c>
      <c r="E31" s="3">
        <f t="shared" si="2"/>
        <v>7200</v>
      </c>
      <c r="F31" s="10" t="s">
        <v>368</v>
      </c>
    </row>
    <row r="32" spans="1:6" ht="38.25">
      <c r="A32" s="18" t="s">
        <v>370</v>
      </c>
      <c r="B32" s="18" t="s">
        <v>912</v>
      </c>
      <c r="C32" s="3">
        <f>5000*1.2</f>
        <v>6000</v>
      </c>
      <c r="D32" s="10">
        <v>1</v>
      </c>
      <c r="E32" s="3">
        <f t="shared" si="2"/>
        <v>6000</v>
      </c>
      <c r="F32" s="10" t="s">
        <v>368</v>
      </c>
    </row>
    <row r="33" spans="1:6" ht="38.25">
      <c r="A33" s="18" t="s">
        <v>371</v>
      </c>
      <c r="B33" s="18" t="s">
        <v>913</v>
      </c>
      <c r="C33" s="3">
        <v>4800</v>
      </c>
      <c r="D33" s="10">
        <v>1</v>
      </c>
      <c r="E33" s="3">
        <f t="shared" si="2"/>
        <v>4800</v>
      </c>
      <c r="F33" s="10" t="s">
        <v>368</v>
      </c>
    </row>
    <row r="34" spans="1:6" ht="19.5">
      <c r="A34" s="65" t="s">
        <v>17</v>
      </c>
      <c r="B34" s="66"/>
      <c r="C34" s="66"/>
      <c r="D34" s="66"/>
      <c r="E34" s="66"/>
      <c r="F34" s="67"/>
    </row>
    <row r="35" spans="1:6" ht="15.75">
      <c r="A35" s="58" t="s">
        <v>15</v>
      </c>
      <c r="B35" s="59"/>
      <c r="C35" s="59"/>
      <c r="D35" s="59"/>
      <c r="E35" s="59"/>
      <c r="F35" s="60"/>
    </row>
    <row r="36" spans="1:6" ht="76.5">
      <c r="A36" s="18" t="s">
        <v>372</v>
      </c>
      <c r="B36" s="18" t="s">
        <v>914</v>
      </c>
      <c r="C36" s="11">
        <f t="shared" ref="C36:C47" si="3">C4*0.4</f>
        <v>24000</v>
      </c>
      <c r="D36" s="10">
        <v>1</v>
      </c>
      <c r="E36" s="3">
        <f t="shared" ref="E36:E47" si="4">D36*C36</f>
        <v>24000</v>
      </c>
      <c r="F36" s="10" t="s">
        <v>373</v>
      </c>
    </row>
    <row r="37" spans="1:6" ht="76.5">
      <c r="A37" s="18" t="s">
        <v>374</v>
      </c>
      <c r="B37" s="18" t="s">
        <v>915</v>
      </c>
      <c r="C37" s="11">
        <f t="shared" si="3"/>
        <v>44000</v>
      </c>
      <c r="D37" s="10">
        <v>1</v>
      </c>
      <c r="E37" s="3">
        <f t="shared" si="4"/>
        <v>44000</v>
      </c>
      <c r="F37" s="10" t="s">
        <v>373</v>
      </c>
    </row>
    <row r="38" spans="1:6" ht="76.5">
      <c r="A38" s="18" t="s">
        <v>375</v>
      </c>
      <c r="B38" s="18" t="s">
        <v>916</v>
      </c>
      <c r="C38" s="11">
        <f t="shared" si="3"/>
        <v>75600</v>
      </c>
      <c r="D38" s="10">
        <v>1</v>
      </c>
      <c r="E38" s="3">
        <f t="shared" si="4"/>
        <v>75600</v>
      </c>
      <c r="F38" s="10" t="s">
        <v>373</v>
      </c>
    </row>
    <row r="39" spans="1:6" ht="76.5">
      <c r="A39" s="18" t="s">
        <v>376</v>
      </c>
      <c r="B39" s="18" t="s">
        <v>917</v>
      </c>
      <c r="C39" s="11">
        <f t="shared" si="3"/>
        <v>109600</v>
      </c>
      <c r="D39" s="10">
        <v>1</v>
      </c>
      <c r="E39" s="3">
        <f t="shared" si="4"/>
        <v>109600</v>
      </c>
      <c r="F39" s="10" t="s">
        <v>373</v>
      </c>
    </row>
    <row r="40" spans="1:6" ht="76.5">
      <c r="A40" s="18" t="s">
        <v>377</v>
      </c>
      <c r="B40" s="18" t="s">
        <v>918</v>
      </c>
      <c r="C40" s="11">
        <f t="shared" si="3"/>
        <v>154400</v>
      </c>
      <c r="D40" s="10">
        <v>1</v>
      </c>
      <c r="E40" s="3">
        <f t="shared" si="4"/>
        <v>154400</v>
      </c>
      <c r="F40" s="10" t="s">
        <v>373</v>
      </c>
    </row>
    <row r="41" spans="1:6" ht="76.5">
      <c r="A41" s="18" t="s">
        <v>378</v>
      </c>
      <c r="B41" s="18" t="s">
        <v>919</v>
      </c>
      <c r="C41" s="11">
        <f t="shared" si="3"/>
        <v>276000</v>
      </c>
      <c r="D41" s="10">
        <v>1</v>
      </c>
      <c r="E41" s="3">
        <f t="shared" si="4"/>
        <v>276000</v>
      </c>
      <c r="F41" s="10" t="s">
        <v>373</v>
      </c>
    </row>
    <row r="42" spans="1:6" ht="76.5">
      <c r="A42" s="18" t="s">
        <v>379</v>
      </c>
      <c r="B42" s="18" t="s">
        <v>920</v>
      </c>
      <c r="C42" s="11">
        <f t="shared" si="3"/>
        <v>506000</v>
      </c>
      <c r="D42" s="10">
        <v>1</v>
      </c>
      <c r="E42" s="3">
        <f t="shared" si="4"/>
        <v>506000</v>
      </c>
      <c r="F42" s="10" t="s">
        <v>373</v>
      </c>
    </row>
    <row r="43" spans="1:6" ht="76.5">
      <c r="A43" s="18" t="s">
        <v>380</v>
      </c>
      <c r="B43" s="18" t="s">
        <v>921</v>
      </c>
      <c r="C43" s="11">
        <f t="shared" si="3"/>
        <v>736000</v>
      </c>
      <c r="D43" s="10">
        <v>1</v>
      </c>
      <c r="E43" s="3">
        <f t="shared" si="4"/>
        <v>736000</v>
      </c>
      <c r="F43" s="10" t="s">
        <v>373</v>
      </c>
    </row>
    <row r="44" spans="1:6" ht="76.5">
      <c r="A44" s="18" t="s">
        <v>381</v>
      </c>
      <c r="B44" s="18" t="s">
        <v>922</v>
      </c>
      <c r="C44" s="11">
        <f t="shared" si="3"/>
        <v>966000</v>
      </c>
      <c r="D44" s="10">
        <v>1</v>
      </c>
      <c r="E44" s="3">
        <f t="shared" si="4"/>
        <v>966000</v>
      </c>
      <c r="F44" s="10" t="s">
        <v>373</v>
      </c>
    </row>
    <row r="45" spans="1:6" ht="76.5">
      <c r="A45" s="18" t="s">
        <v>382</v>
      </c>
      <c r="B45" s="18" t="s">
        <v>923</v>
      </c>
      <c r="C45" s="11">
        <f t="shared" si="3"/>
        <v>1377400</v>
      </c>
      <c r="D45" s="10">
        <v>1</v>
      </c>
      <c r="E45" s="3">
        <f t="shared" si="4"/>
        <v>1377400</v>
      </c>
      <c r="F45" s="10" t="s">
        <v>373</v>
      </c>
    </row>
    <row r="46" spans="1:6" ht="76.5">
      <c r="A46" s="18" t="s">
        <v>383</v>
      </c>
      <c r="B46" s="18" t="s">
        <v>924</v>
      </c>
      <c r="C46" s="11">
        <f t="shared" si="3"/>
        <v>2195000</v>
      </c>
      <c r="D46" s="10">
        <v>1</v>
      </c>
      <c r="E46" s="3">
        <f t="shared" si="4"/>
        <v>2195000</v>
      </c>
      <c r="F46" s="10" t="s">
        <v>373</v>
      </c>
    </row>
    <row r="47" spans="1:6" ht="76.5">
      <c r="A47" s="18" t="s">
        <v>384</v>
      </c>
      <c r="B47" s="18" t="s">
        <v>925</v>
      </c>
      <c r="C47" s="11">
        <f t="shared" si="3"/>
        <v>2893000</v>
      </c>
      <c r="D47" s="10">
        <v>1</v>
      </c>
      <c r="E47" s="3">
        <f t="shared" si="4"/>
        <v>2893000</v>
      </c>
      <c r="F47" s="10" t="s">
        <v>373</v>
      </c>
    </row>
    <row r="48" spans="1:6" ht="15.75">
      <c r="A48" s="58" t="s">
        <v>330</v>
      </c>
      <c r="B48" s="59"/>
      <c r="C48" s="59"/>
      <c r="D48" s="59"/>
      <c r="E48" s="59"/>
      <c r="F48" s="60"/>
    </row>
    <row r="49" spans="1:6" ht="25.5">
      <c r="A49" s="18" t="s">
        <v>385</v>
      </c>
      <c r="B49" s="18" t="s">
        <v>926</v>
      </c>
      <c r="C49" s="3">
        <f>C30*0.4</f>
        <v>3360</v>
      </c>
      <c r="D49" s="10">
        <v>1</v>
      </c>
      <c r="E49" s="3">
        <f t="shared" ref="E49:E52" si="5">D49*C49</f>
        <v>3360</v>
      </c>
      <c r="F49" s="10" t="s">
        <v>801</v>
      </c>
    </row>
    <row r="50" spans="1:6" ht="25.5">
      <c r="A50" s="18" t="s">
        <v>386</v>
      </c>
      <c r="B50" s="18" t="s">
        <v>927</v>
      </c>
      <c r="C50" s="3">
        <f>C31*0.4</f>
        <v>2880</v>
      </c>
      <c r="D50" s="10">
        <v>1</v>
      </c>
      <c r="E50" s="3">
        <f t="shared" si="5"/>
        <v>2880</v>
      </c>
      <c r="F50" s="10" t="s">
        <v>801</v>
      </c>
    </row>
    <row r="51" spans="1:6" ht="25.5">
      <c r="A51" s="18" t="s">
        <v>387</v>
      </c>
      <c r="B51" s="18" t="s">
        <v>928</v>
      </c>
      <c r="C51" s="3">
        <f>C32*0.4</f>
        <v>2400</v>
      </c>
      <c r="D51" s="10">
        <v>1</v>
      </c>
      <c r="E51" s="3">
        <f t="shared" si="5"/>
        <v>2400</v>
      </c>
      <c r="F51" s="10" t="s">
        <v>801</v>
      </c>
    </row>
    <row r="52" spans="1:6">
      <c r="A52" s="18" t="s">
        <v>388</v>
      </c>
      <c r="B52" s="18" t="s">
        <v>929</v>
      </c>
      <c r="C52" s="3">
        <f>C33*0.4</f>
        <v>1920</v>
      </c>
      <c r="D52" s="10">
        <v>1</v>
      </c>
      <c r="E52" s="3">
        <f t="shared" si="5"/>
        <v>1920</v>
      </c>
      <c r="F52" s="10" t="s">
        <v>801</v>
      </c>
    </row>
    <row r="53" spans="1:6" ht="21.75">
      <c r="A53" s="27" t="s">
        <v>180</v>
      </c>
      <c r="B53" s="22"/>
    </row>
    <row r="54" spans="1:6" ht="105">
      <c r="A54" s="49" t="s">
        <v>1094</v>
      </c>
      <c r="B54" s="25" t="s">
        <v>813</v>
      </c>
    </row>
    <row r="55" spans="1:6" ht="45">
      <c r="A55" s="24" t="s">
        <v>185</v>
      </c>
      <c r="B55" s="25" t="s">
        <v>186</v>
      </c>
    </row>
    <row r="56" spans="1:6">
      <c r="A56" s="24" t="s">
        <v>187</v>
      </c>
      <c r="B56" s="23" t="s">
        <v>188</v>
      </c>
    </row>
  </sheetData>
  <mergeCells count="7">
    <mergeCell ref="A48:F48"/>
    <mergeCell ref="A1:F1"/>
    <mergeCell ref="A3:F3"/>
    <mergeCell ref="A16:F16"/>
    <mergeCell ref="A29:F29"/>
    <mergeCell ref="A34:F34"/>
    <mergeCell ref="A35:F35"/>
  </mergeCells>
  <hyperlinks>
    <hyperlink ref="B56" r:id="rId1" xr:uid="{00000000-0004-0000-06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</sheetPr>
  <dimension ref="A1:G83"/>
  <sheetViews>
    <sheetView zoomScale="90" zoomScaleNormal="90" workbookViewId="0">
      <selection activeCell="G2" sqref="G1:J1048576"/>
    </sheetView>
  </sheetViews>
  <sheetFormatPr defaultColWidth="8.7109375" defaultRowHeight="15"/>
  <cols>
    <col min="1" max="1" width="31.28515625" customWidth="1"/>
    <col min="2" max="2" width="43" customWidth="1"/>
    <col min="3" max="5" width="13.28515625" customWidth="1"/>
    <col min="6" max="6" width="48.7109375" customWidth="1"/>
    <col min="7" max="7" width="10.42578125" customWidth="1"/>
  </cols>
  <sheetData>
    <row r="1" spans="1:6" ht="17.25">
      <c r="A1" s="57" t="s">
        <v>3</v>
      </c>
      <c r="B1" s="57"/>
      <c r="C1" s="57"/>
      <c r="D1" s="57"/>
      <c r="E1" s="57"/>
      <c r="F1" s="57"/>
    </row>
    <row r="2" spans="1:6">
      <c r="A2" s="8" t="s">
        <v>11</v>
      </c>
      <c r="B2" s="8" t="s">
        <v>12</v>
      </c>
      <c r="C2" s="8" t="s">
        <v>18</v>
      </c>
      <c r="D2" s="8" t="s">
        <v>273</v>
      </c>
      <c r="E2" s="8" t="s">
        <v>20</v>
      </c>
      <c r="F2" s="8" t="s">
        <v>14</v>
      </c>
    </row>
    <row r="3" spans="1:6" ht="15.75">
      <c r="A3" s="54" t="s">
        <v>15</v>
      </c>
      <c r="B3" s="55"/>
      <c r="C3" s="55"/>
      <c r="D3" s="55"/>
      <c r="E3" s="55"/>
      <c r="F3" s="56"/>
    </row>
    <row r="4" spans="1:6" ht="38.25">
      <c r="A4" s="10" t="s">
        <v>389</v>
      </c>
      <c r="B4" s="10" t="s">
        <v>390</v>
      </c>
      <c r="C4" s="3">
        <f>58080*1.15</f>
        <v>66792</v>
      </c>
      <c r="D4" s="10">
        <v>1</v>
      </c>
      <c r="E4" s="3">
        <f>C4*D4</f>
        <v>66792</v>
      </c>
      <c r="F4" s="10" t="s">
        <v>391</v>
      </c>
    </row>
    <row r="5" spans="1:6" ht="38.25">
      <c r="A5" s="10" t="s">
        <v>392</v>
      </c>
      <c r="B5" s="10" t="s">
        <v>393</v>
      </c>
      <c r="C5" s="3">
        <f>74800*1.15</f>
        <v>86020</v>
      </c>
      <c r="D5" s="10">
        <v>1</v>
      </c>
      <c r="E5" s="3">
        <f t="shared" ref="E5:E15" si="0">C5*D5</f>
        <v>86020</v>
      </c>
      <c r="F5" s="10" t="s">
        <v>391</v>
      </c>
    </row>
    <row r="6" spans="1:6" ht="38.25">
      <c r="A6" s="10" t="s">
        <v>394</v>
      </c>
      <c r="B6" s="10" t="s">
        <v>395</v>
      </c>
      <c r="C6" s="3">
        <f>105600*1.15</f>
        <v>121439.99999999999</v>
      </c>
      <c r="D6" s="10">
        <v>1</v>
      </c>
      <c r="E6" s="3">
        <f t="shared" si="0"/>
        <v>121439.99999999999</v>
      </c>
      <c r="F6" s="10" t="s">
        <v>391</v>
      </c>
    </row>
    <row r="7" spans="1:6" ht="38.25">
      <c r="A7" s="10" t="s">
        <v>396</v>
      </c>
      <c r="B7" s="10" t="s">
        <v>397</v>
      </c>
      <c r="C7" s="3">
        <f>135600*1.15</f>
        <v>155940</v>
      </c>
      <c r="D7" s="10">
        <v>1</v>
      </c>
      <c r="E7" s="3">
        <f t="shared" si="0"/>
        <v>155940</v>
      </c>
      <c r="F7" s="10" t="s">
        <v>391</v>
      </c>
    </row>
    <row r="8" spans="1:6" ht="38.25">
      <c r="A8" s="10" t="s">
        <v>398</v>
      </c>
      <c r="B8" s="10" t="s">
        <v>399</v>
      </c>
      <c r="C8" s="3">
        <f>192400*1.15</f>
        <v>221259.99999999997</v>
      </c>
      <c r="D8" s="10">
        <v>1</v>
      </c>
      <c r="E8" s="3">
        <f t="shared" si="0"/>
        <v>221259.99999999997</v>
      </c>
      <c r="F8" s="10" t="s">
        <v>391</v>
      </c>
    </row>
    <row r="9" spans="1:6" ht="38.25">
      <c r="A9" s="10" t="s">
        <v>400</v>
      </c>
      <c r="B9" s="10" t="s">
        <v>401</v>
      </c>
      <c r="C9" s="3">
        <f>263900*1.15</f>
        <v>303485</v>
      </c>
      <c r="D9" s="10">
        <v>1</v>
      </c>
      <c r="E9" s="3">
        <f t="shared" si="0"/>
        <v>303485</v>
      </c>
      <c r="F9" s="10" t="s">
        <v>391</v>
      </c>
    </row>
    <row r="10" spans="1:6" ht="38.25">
      <c r="A10" s="10" t="s">
        <v>402</v>
      </c>
      <c r="B10" s="10" t="s">
        <v>403</v>
      </c>
      <c r="C10" s="3">
        <f>393900*1.15</f>
        <v>452984.99999999994</v>
      </c>
      <c r="D10" s="10">
        <v>1</v>
      </c>
      <c r="E10" s="3">
        <f t="shared" si="0"/>
        <v>452984.99999999994</v>
      </c>
      <c r="F10" s="10" t="s">
        <v>391</v>
      </c>
    </row>
    <row r="11" spans="1:6" ht="38.25">
      <c r="A11" s="10" t="s">
        <v>404</v>
      </c>
      <c r="B11" s="10" t="s">
        <v>405</v>
      </c>
      <c r="C11" s="3">
        <f>666900*1.15</f>
        <v>766934.99999999988</v>
      </c>
      <c r="D11" s="10">
        <v>1</v>
      </c>
      <c r="E11" s="3">
        <f t="shared" si="0"/>
        <v>766934.99999999988</v>
      </c>
      <c r="F11" s="10" t="s">
        <v>391</v>
      </c>
    </row>
    <row r="12" spans="1:6" ht="38.25">
      <c r="A12" s="10" t="s">
        <v>406</v>
      </c>
      <c r="B12" s="10" t="s">
        <v>802</v>
      </c>
      <c r="C12" s="3">
        <f>1069900*1.15</f>
        <v>1230385</v>
      </c>
      <c r="D12" s="10">
        <v>1</v>
      </c>
      <c r="E12" s="3">
        <f t="shared" si="0"/>
        <v>1230385</v>
      </c>
      <c r="F12" s="10" t="s">
        <v>391</v>
      </c>
    </row>
    <row r="13" spans="1:6" ht="38.25">
      <c r="A13" s="10" t="s">
        <v>407</v>
      </c>
      <c r="B13" s="10" t="s">
        <v>803</v>
      </c>
      <c r="C13" s="3">
        <f>1719900*1.15</f>
        <v>1977884.9999999998</v>
      </c>
      <c r="D13" s="10">
        <v>1</v>
      </c>
      <c r="E13" s="3">
        <f t="shared" si="0"/>
        <v>1977884.9999999998</v>
      </c>
      <c r="F13" s="10" t="s">
        <v>391</v>
      </c>
    </row>
    <row r="14" spans="1:6" ht="38.25">
      <c r="A14" s="10" t="s">
        <v>408</v>
      </c>
      <c r="B14" s="10" t="s">
        <v>409</v>
      </c>
      <c r="C14" s="3">
        <f>3279900*1.15</f>
        <v>3771884.9999999995</v>
      </c>
      <c r="D14" s="10">
        <v>1</v>
      </c>
      <c r="E14" s="3">
        <f t="shared" si="0"/>
        <v>3771884.9999999995</v>
      </c>
      <c r="F14" s="10" t="s">
        <v>391</v>
      </c>
    </row>
    <row r="15" spans="1:6" ht="51">
      <c r="A15" s="10" t="s">
        <v>410</v>
      </c>
      <c r="B15" s="10" t="s">
        <v>411</v>
      </c>
      <c r="C15" s="3">
        <f>4579900*1.15</f>
        <v>5266885</v>
      </c>
      <c r="D15" s="10">
        <v>1</v>
      </c>
      <c r="E15" s="3">
        <f t="shared" si="0"/>
        <v>5266885</v>
      </c>
      <c r="F15" s="10" t="s">
        <v>391</v>
      </c>
    </row>
    <row r="16" spans="1:6" ht="15.75">
      <c r="A16" s="54" t="s">
        <v>412</v>
      </c>
      <c r="B16" s="55"/>
      <c r="C16" s="55"/>
      <c r="D16" s="55"/>
      <c r="E16" s="55"/>
      <c r="F16" s="56"/>
    </row>
    <row r="17" spans="1:7" ht="15.75">
      <c r="A17" s="54" t="s">
        <v>804</v>
      </c>
      <c r="B17" s="55"/>
      <c r="C17" s="55"/>
      <c r="D17" s="55"/>
      <c r="E17" s="55"/>
      <c r="F17" s="56"/>
    </row>
    <row r="18" spans="1:7" ht="51">
      <c r="A18" s="10" t="s">
        <v>413</v>
      </c>
      <c r="B18" s="10" t="s">
        <v>414</v>
      </c>
      <c r="C18" s="3">
        <f t="shared" ref="C18:C29" si="1">C4+32500</f>
        <v>99292</v>
      </c>
      <c r="D18" s="10">
        <v>1</v>
      </c>
      <c r="E18" s="3">
        <f t="shared" ref="E18:E19" si="2">C18*D18</f>
        <v>99292</v>
      </c>
      <c r="F18" s="10" t="s">
        <v>415</v>
      </c>
      <c r="G18" s="21"/>
    </row>
    <row r="19" spans="1:7" ht="51">
      <c r="A19" s="10" t="s">
        <v>416</v>
      </c>
      <c r="B19" s="10" t="s">
        <v>417</v>
      </c>
      <c r="C19" s="3">
        <f t="shared" si="1"/>
        <v>118520</v>
      </c>
      <c r="D19" s="10">
        <v>1</v>
      </c>
      <c r="E19" s="3">
        <f t="shared" si="2"/>
        <v>118520</v>
      </c>
      <c r="F19" s="10" t="s">
        <v>415</v>
      </c>
    </row>
    <row r="20" spans="1:7" ht="51">
      <c r="A20" s="10" t="s">
        <v>418</v>
      </c>
      <c r="B20" s="10" t="s">
        <v>419</v>
      </c>
      <c r="C20" s="3">
        <f t="shared" si="1"/>
        <v>153940</v>
      </c>
      <c r="D20" s="10">
        <v>1</v>
      </c>
      <c r="E20" s="3">
        <f t="shared" ref="E20:E27" si="3">C20*D20</f>
        <v>153940</v>
      </c>
      <c r="F20" s="10" t="s">
        <v>415</v>
      </c>
    </row>
    <row r="21" spans="1:7" ht="51">
      <c r="A21" s="10" t="s">
        <v>420</v>
      </c>
      <c r="B21" s="10" t="s">
        <v>421</v>
      </c>
      <c r="C21" s="3">
        <f t="shared" si="1"/>
        <v>188440</v>
      </c>
      <c r="D21" s="10">
        <v>1</v>
      </c>
      <c r="E21" s="3">
        <f t="shared" si="3"/>
        <v>188440</v>
      </c>
      <c r="F21" s="10" t="s">
        <v>415</v>
      </c>
    </row>
    <row r="22" spans="1:7" ht="51">
      <c r="A22" s="10" t="s">
        <v>422</v>
      </c>
      <c r="B22" s="10" t="s">
        <v>423</v>
      </c>
      <c r="C22" s="3">
        <f t="shared" si="1"/>
        <v>253759.99999999997</v>
      </c>
      <c r="D22" s="10">
        <v>1</v>
      </c>
      <c r="E22" s="3">
        <f t="shared" si="3"/>
        <v>253759.99999999997</v>
      </c>
      <c r="F22" s="10" t="s">
        <v>415</v>
      </c>
    </row>
    <row r="23" spans="1:7" ht="51">
      <c r="A23" s="10" t="s">
        <v>424</v>
      </c>
      <c r="B23" s="10" t="s">
        <v>425</v>
      </c>
      <c r="C23" s="3">
        <f t="shared" si="1"/>
        <v>335985</v>
      </c>
      <c r="D23" s="10">
        <v>1</v>
      </c>
      <c r="E23" s="3">
        <f t="shared" si="3"/>
        <v>335985</v>
      </c>
      <c r="F23" s="10" t="s">
        <v>415</v>
      </c>
    </row>
    <row r="24" spans="1:7" ht="51">
      <c r="A24" s="10" t="s">
        <v>426</v>
      </c>
      <c r="B24" s="10" t="s">
        <v>427</v>
      </c>
      <c r="C24" s="3">
        <f t="shared" si="1"/>
        <v>485484.99999999994</v>
      </c>
      <c r="D24" s="10">
        <v>1</v>
      </c>
      <c r="E24" s="3">
        <f t="shared" si="3"/>
        <v>485484.99999999994</v>
      </c>
      <c r="F24" s="10" t="s">
        <v>415</v>
      </c>
    </row>
    <row r="25" spans="1:7" ht="51">
      <c r="A25" s="10" t="s">
        <v>428</v>
      </c>
      <c r="B25" s="10" t="s">
        <v>429</v>
      </c>
      <c r="C25" s="3">
        <f t="shared" si="1"/>
        <v>799434.99999999988</v>
      </c>
      <c r="D25" s="10">
        <v>1</v>
      </c>
      <c r="E25" s="3">
        <f t="shared" si="3"/>
        <v>799434.99999999988</v>
      </c>
      <c r="F25" s="10" t="s">
        <v>415</v>
      </c>
    </row>
    <row r="26" spans="1:7" ht="51">
      <c r="A26" s="10" t="s">
        <v>430</v>
      </c>
      <c r="B26" s="10" t="s">
        <v>805</v>
      </c>
      <c r="C26" s="3">
        <f t="shared" si="1"/>
        <v>1262885</v>
      </c>
      <c r="D26" s="10">
        <v>1</v>
      </c>
      <c r="E26" s="3">
        <f t="shared" si="3"/>
        <v>1262885</v>
      </c>
      <c r="F26" s="10" t="s">
        <v>415</v>
      </c>
    </row>
    <row r="27" spans="1:7" ht="51">
      <c r="A27" s="10" t="s">
        <v>431</v>
      </c>
      <c r="B27" s="10" t="s">
        <v>806</v>
      </c>
      <c r="C27" s="3">
        <f t="shared" si="1"/>
        <v>2010384.9999999998</v>
      </c>
      <c r="D27" s="10">
        <v>1</v>
      </c>
      <c r="E27" s="3">
        <f t="shared" si="3"/>
        <v>2010384.9999999998</v>
      </c>
      <c r="F27" s="10" t="s">
        <v>415</v>
      </c>
    </row>
    <row r="28" spans="1:7" ht="51">
      <c r="A28" s="10" t="s">
        <v>432</v>
      </c>
      <c r="B28" s="10" t="s">
        <v>433</v>
      </c>
      <c r="C28" s="3">
        <f t="shared" si="1"/>
        <v>3804384.9999999995</v>
      </c>
      <c r="D28" s="10">
        <v>1</v>
      </c>
      <c r="E28" s="3">
        <f>C28*D28</f>
        <v>3804384.9999999995</v>
      </c>
      <c r="F28" s="10" t="s">
        <v>415</v>
      </c>
    </row>
    <row r="29" spans="1:7" ht="51">
      <c r="A29" s="10" t="s">
        <v>434</v>
      </c>
      <c r="B29" s="10" t="s">
        <v>435</v>
      </c>
      <c r="C29" s="3">
        <f t="shared" si="1"/>
        <v>5299385</v>
      </c>
      <c r="D29" s="10">
        <v>1</v>
      </c>
      <c r="E29" s="3">
        <f>C29*D29</f>
        <v>5299385</v>
      </c>
      <c r="F29" s="10" t="s">
        <v>415</v>
      </c>
    </row>
    <row r="30" spans="1:7" ht="15.75">
      <c r="A30" s="58" t="s">
        <v>436</v>
      </c>
      <c r="B30" s="59"/>
      <c r="C30" s="59"/>
      <c r="D30" s="59"/>
      <c r="E30" s="59"/>
      <c r="F30" s="60"/>
    </row>
    <row r="31" spans="1:7" ht="89.25">
      <c r="A31" s="10" t="s">
        <v>437</v>
      </c>
      <c r="B31" s="10" t="s">
        <v>438</v>
      </c>
      <c r="C31" s="3">
        <f>ROUNDUP(C4*0.2,0.1)</f>
        <v>13359</v>
      </c>
      <c r="D31" s="10">
        <v>1</v>
      </c>
      <c r="E31" s="3">
        <f>C31*D31</f>
        <v>13359</v>
      </c>
      <c r="F31" s="10" t="s">
        <v>1040</v>
      </c>
    </row>
    <row r="32" spans="1:7" ht="89.25">
      <c r="A32" s="10" t="s">
        <v>439</v>
      </c>
      <c r="B32" s="10" t="s">
        <v>440</v>
      </c>
      <c r="C32" s="3">
        <f t="shared" ref="C32:C42" si="4">ROUNDUP(C5*0.2,0.1)</f>
        <v>17204</v>
      </c>
      <c r="D32" s="10">
        <v>1</v>
      </c>
      <c r="E32" s="3">
        <f>C32*D32</f>
        <v>17204</v>
      </c>
      <c r="F32" s="10" t="s">
        <v>1040</v>
      </c>
    </row>
    <row r="33" spans="1:6" ht="89.25">
      <c r="A33" s="10" t="s">
        <v>441</v>
      </c>
      <c r="B33" s="10" t="s">
        <v>442</v>
      </c>
      <c r="C33" s="3">
        <f t="shared" si="4"/>
        <v>24288</v>
      </c>
      <c r="D33" s="10">
        <v>1</v>
      </c>
      <c r="E33" s="3">
        <f t="shared" ref="E33:E42" si="5">C33*D33</f>
        <v>24288</v>
      </c>
      <c r="F33" s="10" t="s">
        <v>1040</v>
      </c>
    </row>
    <row r="34" spans="1:6" ht="89.25">
      <c r="A34" s="10" t="s">
        <v>443</v>
      </c>
      <c r="B34" s="10" t="s">
        <v>444</v>
      </c>
      <c r="C34" s="3">
        <f t="shared" si="4"/>
        <v>31188</v>
      </c>
      <c r="D34" s="10">
        <v>1</v>
      </c>
      <c r="E34" s="3">
        <f t="shared" si="5"/>
        <v>31188</v>
      </c>
      <c r="F34" s="10" t="s">
        <v>1040</v>
      </c>
    </row>
    <row r="35" spans="1:6" ht="89.25">
      <c r="A35" s="10" t="s">
        <v>445</v>
      </c>
      <c r="B35" s="10" t="s">
        <v>446</v>
      </c>
      <c r="C35" s="3">
        <f t="shared" si="4"/>
        <v>44252</v>
      </c>
      <c r="D35" s="10">
        <v>1</v>
      </c>
      <c r="E35" s="3">
        <f t="shared" si="5"/>
        <v>44252</v>
      </c>
      <c r="F35" s="10" t="s">
        <v>1040</v>
      </c>
    </row>
    <row r="36" spans="1:6" ht="89.25">
      <c r="A36" s="10" t="s">
        <v>447</v>
      </c>
      <c r="B36" s="10" t="s">
        <v>448</v>
      </c>
      <c r="C36" s="3">
        <f t="shared" si="4"/>
        <v>60697</v>
      </c>
      <c r="D36" s="10">
        <v>1</v>
      </c>
      <c r="E36" s="3">
        <f t="shared" si="5"/>
        <v>60697</v>
      </c>
      <c r="F36" s="10" t="s">
        <v>1040</v>
      </c>
    </row>
    <row r="37" spans="1:6" ht="89.25">
      <c r="A37" s="10" t="s">
        <v>449</v>
      </c>
      <c r="B37" s="10" t="s">
        <v>450</v>
      </c>
      <c r="C37" s="3">
        <f t="shared" si="4"/>
        <v>90597</v>
      </c>
      <c r="D37" s="10">
        <v>1</v>
      </c>
      <c r="E37" s="3">
        <f t="shared" si="5"/>
        <v>90597</v>
      </c>
      <c r="F37" s="10" t="s">
        <v>1040</v>
      </c>
    </row>
    <row r="38" spans="1:6" ht="89.25">
      <c r="A38" s="10" t="s">
        <v>451</v>
      </c>
      <c r="B38" s="10" t="s">
        <v>452</v>
      </c>
      <c r="C38" s="3">
        <f t="shared" si="4"/>
        <v>153387</v>
      </c>
      <c r="D38" s="10">
        <v>1</v>
      </c>
      <c r="E38" s="3">
        <f t="shared" si="5"/>
        <v>153387</v>
      </c>
      <c r="F38" s="10" t="s">
        <v>1040</v>
      </c>
    </row>
    <row r="39" spans="1:6" ht="89.25">
      <c r="A39" s="10" t="s">
        <v>453</v>
      </c>
      <c r="B39" s="10" t="s">
        <v>1033</v>
      </c>
      <c r="C39" s="3">
        <f t="shared" si="4"/>
        <v>246077</v>
      </c>
      <c r="D39" s="10">
        <v>1</v>
      </c>
      <c r="E39" s="3">
        <f t="shared" si="5"/>
        <v>246077</v>
      </c>
      <c r="F39" s="10" t="s">
        <v>1040</v>
      </c>
    </row>
    <row r="40" spans="1:6" ht="89.25">
      <c r="A40" s="10" t="s">
        <v>454</v>
      </c>
      <c r="B40" s="10" t="s">
        <v>1034</v>
      </c>
      <c r="C40" s="3">
        <f t="shared" si="4"/>
        <v>395577</v>
      </c>
      <c r="D40" s="10">
        <v>1</v>
      </c>
      <c r="E40" s="3">
        <f t="shared" si="5"/>
        <v>395577</v>
      </c>
      <c r="F40" s="10" t="s">
        <v>1040</v>
      </c>
    </row>
    <row r="41" spans="1:6" ht="89.25">
      <c r="A41" s="10" t="s">
        <v>455</v>
      </c>
      <c r="B41" s="10" t="s">
        <v>1035</v>
      </c>
      <c r="C41" s="3">
        <f t="shared" si="4"/>
        <v>754377</v>
      </c>
      <c r="D41" s="10">
        <v>1</v>
      </c>
      <c r="E41" s="3">
        <f t="shared" si="5"/>
        <v>754377</v>
      </c>
      <c r="F41" s="10" t="s">
        <v>1040</v>
      </c>
    </row>
    <row r="42" spans="1:6" ht="89.25">
      <c r="A42" s="10" t="s">
        <v>456</v>
      </c>
      <c r="B42" s="10" t="s">
        <v>457</v>
      </c>
      <c r="C42" s="3">
        <f t="shared" si="4"/>
        <v>1053377</v>
      </c>
      <c r="D42" s="10">
        <v>1</v>
      </c>
      <c r="E42" s="3">
        <f t="shared" si="5"/>
        <v>1053377</v>
      </c>
      <c r="F42" s="10" t="s">
        <v>1040</v>
      </c>
    </row>
    <row r="43" spans="1:6" ht="15.75">
      <c r="A43" s="58" t="s">
        <v>458</v>
      </c>
      <c r="B43" s="59"/>
      <c r="C43" s="59"/>
      <c r="D43" s="59"/>
      <c r="E43" s="59"/>
      <c r="F43" s="60"/>
    </row>
    <row r="44" spans="1:6" ht="89.25">
      <c r="A44" s="10" t="s">
        <v>459</v>
      </c>
      <c r="B44" s="10" t="s">
        <v>438</v>
      </c>
      <c r="C44" s="3">
        <f>ROUNDUP(C4*0.4,0.1)</f>
        <v>26717</v>
      </c>
      <c r="D44" s="10">
        <v>1</v>
      </c>
      <c r="E44" s="3">
        <f t="shared" ref="E44:E45" si="6">C44*D44</f>
        <v>26717</v>
      </c>
      <c r="F44" s="10" t="s">
        <v>460</v>
      </c>
    </row>
    <row r="45" spans="1:6" ht="89.25">
      <c r="A45" s="10" t="s">
        <v>461</v>
      </c>
      <c r="B45" s="10" t="s">
        <v>440</v>
      </c>
      <c r="C45" s="3">
        <f t="shared" ref="C45:C52" si="7">ROUNDUP(C5*0.4,0.1)</f>
        <v>34408</v>
      </c>
      <c r="D45" s="10">
        <v>1</v>
      </c>
      <c r="E45" s="3">
        <f t="shared" si="6"/>
        <v>34408</v>
      </c>
      <c r="F45" s="10" t="s">
        <v>460</v>
      </c>
    </row>
    <row r="46" spans="1:6" ht="89.25">
      <c r="A46" s="10" t="s">
        <v>462</v>
      </c>
      <c r="B46" s="10" t="s">
        <v>442</v>
      </c>
      <c r="C46" s="3">
        <f t="shared" si="7"/>
        <v>48576</v>
      </c>
      <c r="D46" s="10">
        <v>1</v>
      </c>
      <c r="E46" s="3">
        <f t="shared" ref="E46:E52" si="8">C46*D46</f>
        <v>48576</v>
      </c>
      <c r="F46" s="10" t="s">
        <v>460</v>
      </c>
    </row>
    <row r="47" spans="1:6" ht="89.25">
      <c r="A47" s="10" t="s">
        <v>463</v>
      </c>
      <c r="B47" s="10" t="s">
        <v>444</v>
      </c>
      <c r="C47" s="3">
        <f t="shared" si="7"/>
        <v>62376</v>
      </c>
      <c r="D47" s="10">
        <v>1</v>
      </c>
      <c r="E47" s="3">
        <f t="shared" si="8"/>
        <v>62376</v>
      </c>
      <c r="F47" s="10" t="s">
        <v>460</v>
      </c>
    </row>
    <row r="48" spans="1:6" ht="89.25">
      <c r="A48" s="10" t="s">
        <v>464</v>
      </c>
      <c r="B48" s="10" t="s">
        <v>446</v>
      </c>
      <c r="C48" s="3">
        <f t="shared" si="7"/>
        <v>88504</v>
      </c>
      <c r="D48" s="10">
        <v>1</v>
      </c>
      <c r="E48" s="3">
        <f t="shared" si="8"/>
        <v>88504</v>
      </c>
      <c r="F48" s="10" t="s">
        <v>460</v>
      </c>
    </row>
    <row r="49" spans="1:6" ht="89.25">
      <c r="A49" s="10" t="s">
        <v>465</v>
      </c>
      <c r="B49" s="10" t="s">
        <v>448</v>
      </c>
      <c r="C49" s="3">
        <f t="shared" si="7"/>
        <v>121394</v>
      </c>
      <c r="D49" s="10">
        <v>1</v>
      </c>
      <c r="E49" s="3">
        <f t="shared" si="8"/>
        <v>121394</v>
      </c>
      <c r="F49" s="10" t="s">
        <v>460</v>
      </c>
    </row>
    <row r="50" spans="1:6" ht="89.25">
      <c r="A50" s="10" t="s">
        <v>466</v>
      </c>
      <c r="B50" s="10" t="s">
        <v>450</v>
      </c>
      <c r="C50" s="3">
        <f t="shared" si="7"/>
        <v>181194</v>
      </c>
      <c r="D50" s="10">
        <v>1</v>
      </c>
      <c r="E50" s="3">
        <f t="shared" si="8"/>
        <v>181194</v>
      </c>
      <c r="F50" s="10" t="s">
        <v>460</v>
      </c>
    </row>
    <row r="51" spans="1:6" ht="89.25">
      <c r="A51" s="10" t="s">
        <v>467</v>
      </c>
      <c r="B51" s="10" t="s">
        <v>452</v>
      </c>
      <c r="C51" s="3">
        <f t="shared" si="7"/>
        <v>306774</v>
      </c>
      <c r="D51" s="10">
        <v>1</v>
      </c>
      <c r="E51" s="3">
        <f t="shared" si="8"/>
        <v>306774</v>
      </c>
      <c r="F51" s="10" t="s">
        <v>460</v>
      </c>
    </row>
    <row r="52" spans="1:6" ht="89.25">
      <c r="A52" s="10" t="s">
        <v>468</v>
      </c>
      <c r="B52" s="10" t="s">
        <v>457</v>
      </c>
      <c r="C52" s="3">
        <f t="shared" si="7"/>
        <v>492154</v>
      </c>
      <c r="D52" s="10">
        <v>1</v>
      </c>
      <c r="E52" s="3">
        <f t="shared" si="8"/>
        <v>492154</v>
      </c>
      <c r="F52" s="10" t="s">
        <v>460</v>
      </c>
    </row>
    <row r="53" spans="1:6" ht="15.75">
      <c r="A53" s="58" t="s">
        <v>112</v>
      </c>
      <c r="B53" s="59"/>
      <c r="C53" s="59"/>
      <c r="D53" s="59"/>
      <c r="E53" s="59"/>
      <c r="F53" s="60"/>
    </row>
    <row r="54" spans="1:6" ht="38.25">
      <c r="A54" s="17" t="s">
        <v>469</v>
      </c>
      <c r="B54" s="18" t="s">
        <v>470</v>
      </c>
      <c r="C54" s="11">
        <f>3000*1.2</f>
        <v>3600</v>
      </c>
      <c r="D54" s="10">
        <v>1</v>
      </c>
      <c r="E54" s="3">
        <f t="shared" ref="E54:E55" si="9">C54*D54</f>
        <v>3600</v>
      </c>
      <c r="F54" s="10" t="s">
        <v>471</v>
      </c>
    </row>
    <row r="55" spans="1:6" ht="38.25">
      <c r="A55" s="17" t="s">
        <v>472</v>
      </c>
      <c r="B55" s="18" t="s">
        <v>473</v>
      </c>
      <c r="C55" s="11">
        <f>2400*1.2</f>
        <v>2880</v>
      </c>
      <c r="D55" s="10">
        <v>1</v>
      </c>
      <c r="E55" s="3">
        <f t="shared" si="9"/>
        <v>2880</v>
      </c>
      <c r="F55" s="10" t="s">
        <v>471</v>
      </c>
    </row>
    <row r="56" spans="1:6" ht="38.25">
      <c r="A56" s="17" t="s">
        <v>474</v>
      </c>
      <c r="B56" s="18" t="s">
        <v>475</v>
      </c>
      <c r="C56" s="11">
        <f>1800*1.2</f>
        <v>2160</v>
      </c>
      <c r="D56" s="10">
        <v>1</v>
      </c>
      <c r="E56" s="3">
        <f t="shared" ref="E56:E57" si="10">C56*D56</f>
        <v>2160</v>
      </c>
      <c r="F56" s="10" t="s">
        <v>471</v>
      </c>
    </row>
    <row r="57" spans="1:6" ht="38.25">
      <c r="A57" s="17" t="s">
        <v>476</v>
      </c>
      <c r="B57" s="18" t="s">
        <v>477</v>
      </c>
      <c r="C57" s="11">
        <f>1200*1.2</f>
        <v>1440</v>
      </c>
      <c r="D57" s="10">
        <v>1</v>
      </c>
      <c r="E57" s="3">
        <f t="shared" si="10"/>
        <v>1440</v>
      </c>
      <c r="F57" s="10" t="s">
        <v>471</v>
      </c>
    </row>
    <row r="58" spans="1:6" ht="19.5">
      <c r="A58" s="65" t="s">
        <v>17</v>
      </c>
      <c r="B58" s="66"/>
      <c r="C58" s="66"/>
      <c r="D58" s="66"/>
      <c r="E58" s="66"/>
      <c r="F58" s="67"/>
    </row>
    <row r="59" spans="1:6" ht="15.75">
      <c r="A59" s="58" t="s">
        <v>15</v>
      </c>
      <c r="B59" s="59"/>
      <c r="C59" s="59"/>
      <c r="D59" s="59"/>
      <c r="E59" s="59"/>
      <c r="F59" s="60"/>
    </row>
    <row r="60" spans="1:6" ht="63.75">
      <c r="A60" s="10" t="s">
        <v>478</v>
      </c>
      <c r="B60" s="10" t="s">
        <v>479</v>
      </c>
      <c r="C60" s="3">
        <f>ROUNDUP(C4*0.4,0.1)</f>
        <v>26717</v>
      </c>
      <c r="D60" s="10">
        <v>1</v>
      </c>
      <c r="E60" s="3">
        <f t="shared" ref="E60:E61" si="11">C60*D60</f>
        <v>26717</v>
      </c>
      <c r="F60" s="10" t="s">
        <v>480</v>
      </c>
    </row>
    <row r="61" spans="1:6" ht="63.75">
      <c r="A61" s="10" t="s">
        <v>481</v>
      </c>
      <c r="B61" s="10" t="s">
        <v>482</v>
      </c>
      <c r="C61" s="3">
        <f t="shared" ref="C61:C71" si="12">ROUNDUP(C5*0.4,0.1)</f>
        <v>34408</v>
      </c>
      <c r="D61" s="10">
        <v>1</v>
      </c>
      <c r="E61" s="3">
        <f t="shared" si="11"/>
        <v>34408</v>
      </c>
      <c r="F61" s="10" t="s">
        <v>480</v>
      </c>
    </row>
    <row r="62" spans="1:6" ht="63.75">
      <c r="A62" s="10" t="s">
        <v>483</v>
      </c>
      <c r="B62" s="10" t="s">
        <v>484</v>
      </c>
      <c r="C62" s="3">
        <f t="shared" si="12"/>
        <v>48576</v>
      </c>
      <c r="D62" s="10">
        <v>1</v>
      </c>
      <c r="E62" s="3">
        <f t="shared" ref="E62:E71" si="13">C62*D62</f>
        <v>48576</v>
      </c>
      <c r="F62" s="10" t="s">
        <v>485</v>
      </c>
    </row>
    <row r="63" spans="1:6" ht="63.75">
      <c r="A63" s="10" t="s">
        <v>486</v>
      </c>
      <c r="B63" s="10" t="s">
        <v>487</v>
      </c>
      <c r="C63" s="3">
        <f t="shared" si="12"/>
        <v>62376</v>
      </c>
      <c r="D63" s="10">
        <v>1</v>
      </c>
      <c r="E63" s="3">
        <f t="shared" si="13"/>
        <v>62376</v>
      </c>
      <c r="F63" s="10" t="s">
        <v>480</v>
      </c>
    </row>
    <row r="64" spans="1:6" ht="63.75">
      <c r="A64" s="10" t="s">
        <v>488</v>
      </c>
      <c r="B64" s="10" t="s">
        <v>489</v>
      </c>
      <c r="C64" s="3">
        <f t="shared" si="12"/>
        <v>88504</v>
      </c>
      <c r="D64" s="10">
        <v>1</v>
      </c>
      <c r="E64" s="3">
        <f t="shared" si="13"/>
        <v>88504</v>
      </c>
      <c r="F64" s="10" t="s">
        <v>480</v>
      </c>
    </row>
    <row r="65" spans="1:6" ht="51">
      <c r="A65" s="10" t="s">
        <v>490</v>
      </c>
      <c r="B65" s="10" t="s">
        <v>491</v>
      </c>
      <c r="C65" s="3">
        <f t="shared" si="12"/>
        <v>121394</v>
      </c>
      <c r="D65" s="10">
        <v>1</v>
      </c>
      <c r="E65" s="3">
        <f t="shared" si="13"/>
        <v>121394</v>
      </c>
      <c r="F65" s="10" t="s">
        <v>492</v>
      </c>
    </row>
    <row r="66" spans="1:6" ht="51">
      <c r="A66" s="10" t="s">
        <v>493</v>
      </c>
      <c r="B66" s="10" t="s">
        <v>494</v>
      </c>
      <c r="C66" s="3">
        <f t="shared" si="12"/>
        <v>181194</v>
      </c>
      <c r="D66" s="10">
        <v>1</v>
      </c>
      <c r="E66" s="3">
        <f t="shared" si="13"/>
        <v>181194</v>
      </c>
      <c r="F66" s="10" t="s">
        <v>492</v>
      </c>
    </row>
    <row r="67" spans="1:6" ht="63.75">
      <c r="A67" s="10" t="s">
        <v>495</v>
      </c>
      <c r="B67" s="10" t="s">
        <v>496</v>
      </c>
      <c r="C67" s="3">
        <f t="shared" si="12"/>
        <v>306774</v>
      </c>
      <c r="D67" s="10">
        <v>1</v>
      </c>
      <c r="E67" s="3">
        <f t="shared" si="13"/>
        <v>306774</v>
      </c>
      <c r="F67" s="10" t="s">
        <v>480</v>
      </c>
    </row>
    <row r="68" spans="1:6" ht="63.75">
      <c r="A68" s="10" t="s">
        <v>497</v>
      </c>
      <c r="B68" s="10" t="s">
        <v>807</v>
      </c>
      <c r="C68" s="3">
        <f t="shared" si="12"/>
        <v>492154</v>
      </c>
      <c r="D68" s="10">
        <v>1</v>
      </c>
      <c r="E68" s="3">
        <f t="shared" si="13"/>
        <v>492154</v>
      </c>
      <c r="F68" s="10" t="s">
        <v>480</v>
      </c>
    </row>
    <row r="69" spans="1:6" ht="63.75">
      <c r="A69" s="10" t="s">
        <v>498</v>
      </c>
      <c r="B69" s="10" t="s">
        <v>808</v>
      </c>
      <c r="C69" s="3">
        <f t="shared" si="12"/>
        <v>791154</v>
      </c>
      <c r="D69" s="10">
        <v>1</v>
      </c>
      <c r="E69" s="3">
        <f t="shared" si="13"/>
        <v>791154</v>
      </c>
      <c r="F69" s="10" t="s">
        <v>480</v>
      </c>
    </row>
    <row r="70" spans="1:6" ht="63.75">
      <c r="A70" s="10" t="s">
        <v>499</v>
      </c>
      <c r="B70" s="10" t="s">
        <v>500</v>
      </c>
      <c r="C70" s="3">
        <f t="shared" si="12"/>
        <v>1508754</v>
      </c>
      <c r="D70" s="10">
        <v>1</v>
      </c>
      <c r="E70" s="3">
        <f t="shared" si="13"/>
        <v>1508754</v>
      </c>
      <c r="F70" s="10" t="s">
        <v>480</v>
      </c>
    </row>
    <row r="71" spans="1:6" ht="63.75">
      <c r="A71" s="10" t="s">
        <v>501</v>
      </c>
      <c r="B71" s="10" t="s">
        <v>502</v>
      </c>
      <c r="C71" s="3">
        <f t="shared" si="12"/>
        <v>2106754</v>
      </c>
      <c r="D71" s="10">
        <v>1</v>
      </c>
      <c r="E71" s="3">
        <f t="shared" si="13"/>
        <v>2106754</v>
      </c>
      <c r="F71" s="10" t="s">
        <v>480</v>
      </c>
    </row>
    <row r="72" spans="1:6" ht="15.75">
      <c r="A72" s="58" t="s">
        <v>146</v>
      </c>
      <c r="B72" s="59"/>
      <c r="C72" s="59"/>
      <c r="D72" s="59"/>
      <c r="E72" s="59"/>
      <c r="F72" s="60"/>
    </row>
    <row r="73" spans="1:6" ht="38.25">
      <c r="A73" s="10" t="s">
        <v>503</v>
      </c>
      <c r="B73" s="10" t="s">
        <v>504</v>
      </c>
      <c r="C73" s="3">
        <f>C54*0.4</f>
        <v>1440</v>
      </c>
      <c r="D73" s="10">
        <v>1</v>
      </c>
      <c r="E73" s="3">
        <f t="shared" ref="E73:E74" si="14">C73*D73</f>
        <v>1440</v>
      </c>
      <c r="F73" s="10" t="s">
        <v>149</v>
      </c>
    </row>
    <row r="74" spans="1:6" ht="38.25">
      <c r="A74" s="10" t="s">
        <v>505</v>
      </c>
      <c r="B74" s="10" t="s">
        <v>506</v>
      </c>
      <c r="C74" s="3">
        <f>C55*0.4</f>
        <v>1152</v>
      </c>
      <c r="D74" s="10">
        <v>1</v>
      </c>
      <c r="E74" s="3">
        <f t="shared" si="14"/>
        <v>1152</v>
      </c>
      <c r="F74" s="10" t="s">
        <v>149</v>
      </c>
    </row>
    <row r="75" spans="1:6" ht="38.25">
      <c r="A75" s="10" t="s">
        <v>507</v>
      </c>
      <c r="B75" s="10" t="s">
        <v>508</v>
      </c>
      <c r="C75" s="3">
        <f>C56*0.4</f>
        <v>864</v>
      </c>
      <c r="D75" s="10">
        <v>1</v>
      </c>
      <c r="E75" s="3">
        <f t="shared" ref="E75:E76" si="15">C75*D75</f>
        <v>864</v>
      </c>
      <c r="F75" s="10" t="s">
        <v>149</v>
      </c>
    </row>
    <row r="76" spans="1:6" ht="38.25">
      <c r="A76" s="10" t="s">
        <v>509</v>
      </c>
      <c r="B76" s="10" t="s">
        <v>510</v>
      </c>
      <c r="C76" s="3">
        <f>C57*0.4</f>
        <v>576</v>
      </c>
      <c r="D76" s="10">
        <v>1</v>
      </c>
      <c r="E76" s="3">
        <f t="shared" si="15"/>
        <v>576</v>
      </c>
      <c r="F76" s="10" t="s">
        <v>149</v>
      </c>
    </row>
    <row r="77" spans="1:6" ht="21.75">
      <c r="A77" s="27" t="s">
        <v>180</v>
      </c>
      <c r="B77" s="22"/>
    </row>
    <row r="78" spans="1:6" ht="120">
      <c r="A78" s="24" t="s">
        <v>511</v>
      </c>
      <c r="B78" s="25" t="s">
        <v>512</v>
      </c>
    </row>
    <row r="79" spans="1:6" ht="135">
      <c r="A79" s="24" t="s">
        <v>513</v>
      </c>
      <c r="B79" s="25" t="s">
        <v>184</v>
      </c>
    </row>
    <row r="80" spans="1:6" ht="60">
      <c r="A80" s="24" t="s">
        <v>185</v>
      </c>
      <c r="B80" s="25" t="s">
        <v>186</v>
      </c>
    </row>
    <row r="81" spans="1:2">
      <c r="A81" s="24" t="s">
        <v>187</v>
      </c>
      <c r="B81" s="23" t="s">
        <v>188</v>
      </c>
    </row>
    <row r="82" spans="1:2">
      <c r="A82" s="22" t="s">
        <v>189</v>
      </c>
      <c r="B82" s="22" t="s">
        <v>190</v>
      </c>
    </row>
    <row r="83" spans="1:2">
      <c r="A83" s="22" t="s">
        <v>191</v>
      </c>
      <c r="B83" s="22"/>
    </row>
  </sheetData>
  <mergeCells count="10">
    <mergeCell ref="A59:F59"/>
    <mergeCell ref="A72:F72"/>
    <mergeCell ref="A43:F43"/>
    <mergeCell ref="A1:F1"/>
    <mergeCell ref="A3:F3"/>
    <mergeCell ref="A17:F17"/>
    <mergeCell ref="A30:F30"/>
    <mergeCell ref="A58:F58"/>
    <mergeCell ref="A53:F53"/>
    <mergeCell ref="A16:F16"/>
  </mergeCells>
  <hyperlinks>
    <hyperlink ref="B81" r:id="rId1" xr:uid="{00000000-0004-0000-0700-000000000000}"/>
  </hyperlinks>
  <pageMargins left="0.7" right="0.7" top="0.75" bottom="0.75" header="0.3" footer="0.3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249977111117893"/>
  </sheetPr>
  <dimension ref="A1:F66"/>
  <sheetViews>
    <sheetView zoomScale="90" zoomScaleNormal="90" workbookViewId="0">
      <selection activeCell="G2" sqref="G1:J1048576"/>
    </sheetView>
  </sheetViews>
  <sheetFormatPr defaultColWidth="8.7109375" defaultRowHeight="15"/>
  <cols>
    <col min="1" max="1" width="31.28515625" customWidth="1"/>
    <col min="2" max="2" width="43" customWidth="1"/>
    <col min="3" max="5" width="13.28515625" customWidth="1"/>
    <col min="6" max="6" width="48.7109375" customWidth="1"/>
    <col min="7" max="7" width="10.42578125" customWidth="1"/>
  </cols>
  <sheetData>
    <row r="1" spans="1:6" ht="17.25">
      <c r="A1" s="64" t="s">
        <v>514</v>
      </c>
      <c r="B1" s="57"/>
      <c r="C1" s="57"/>
      <c r="D1" s="57"/>
      <c r="E1" s="57"/>
      <c r="F1" s="57"/>
    </row>
    <row r="2" spans="1:6">
      <c r="A2" s="8" t="s">
        <v>11</v>
      </c>
      <c r="B2" s="8" t="s">
        <v>12</v>
      </c>
      <c r="C2" s="8" t="s">
        <v>18</v>
      </c>
      <c r="D2" s="8" t="s">
        <v>273</v>
      </c>
      <c r="E2" s="8" t="s">
        <v>20</v>
      </c>
      <c r="F2" s="8" t="s">
        <v>14</v>
      </c>
    </row>
    <row r="3" spans="1:6" ht="15.75">
      <c r="A3" s="54" t="s">
        <v>15</v>
      </c>
      <c r="B3" s="55"/>
      <c r="C3" s="55"/>
      <c r="D3" s="55"/>
      <c r="E3" s="55"/>
      <c r="F3" s="56"/>
    </row>
    <row r="4" spans="1:6" ht="51">
      <c r="A4" s="10" t="s">
        <v>515</v>
      </c>
      <c r="B4" s="10" t="s">
        <v>930</v>
      </c>
      <c r="C4" s="3">
        <f>58080*1.15</f>
        <v>66792</v>
      </c>
      <c r="D4" s="10">
        <v>1</v>
      </c>
      <c r="E4" s="3">
        <f>C4*D4</f>
        <v>66792</v>
      </c>
      <c r="F4" s="10" t="s">
        <v>516</v>
      </c>
    </row>
    <row r="5" spans="1:6" ht="51">
      <c r="A5" s="10" t="s">
        <v>517</v>
      </c>
      <c r="B5" s="10" t="s">
        <v>931</v>
      </c>
      <c r="C5" s="3">
        <f>74800*1.15</f>
        <v>86020</v>
      </c>
      <c r="D5" s="10">
        <v>1</v>
      </c>
      <c r="E5" s="3">
        <f t="shared" ref="E5:E15" si="0">C5*D5</f>
        <v>86020</v>
      </c>
      <c r="F5" s="10" t="s">
        <v>516</v>
      </c>
    </row>
    <row r="6" spans="1:6" ht="51">
      <c r="A6" s="10" t="s">
        <v>518</v>
      </c>
      <c r="B6" s="10" t="s">
        <v>932</v>
      </c>
      <c r="C6" s="3">
        <f>105600*1.15</f>
        <v>121439.99999999999</v>
      </c>
      <c r="D6" s="10">
        <v>1</v>
      </c>
      <c r="E6" s="3">
        <f t="shared" si="0"/>
        <v>121439.99999999999</v>
      </c>
      <c r="F6" s="10" t="s">
        <v>516</v>
      </c>
    </row>
    <row r="7" spans="1:6" ht="51">
      <c r="A7" s="10" t="s">
        <v>519</v>
      </c>
      <c r="B7" s="10" t="s">
        <v>933</v>
      </c>
      <c r="C7" s="3">
        <f>135600*1.15</f>
        <v>155940</v>
      </c>
      <c r="D7" s="10">
        <v>1</v>
      </c>
      <c r="E7" s="3">
        <f t="shared" si="0"/>
        <v>155940</v>
      </c>
      <c r="F7" s="10" t="s">
        <v>516</v>
      </c>
    </row>
    <row r="8" spans="1:6" ht="51">
      <c r="A8" s="10" t="s">
        <v>520</v>
      </c>
      <c r="B8" s="10" t="s">
        <v>934</v>
      </c>
      <c r="C8" s="3">
        <f>192400*1.15</f>
        <v>221259.99999999997</v>
      </c>
      <c r="D8" s="10">
        <v>1</v>
      </c>
      <c r="E8" s="3">
        <f t="shared" si="0"/>
        <v>221259.99999999997</v>
      </c>
      <c r="F8" s="10" t="s">
        <v>516</v>
      </c>
    </row>
    <row r="9" spans="1:6" ht="51">
      <c r="A9" s="10" t="s">
        <v>521</v>
      </c>
      <c r="B9" s="10" t="s">
        <v>935</v>
      </c>
      <c r="C9" s="3">
        <f>263900*1.15</f>
        <v>303485</v>
      </c>
      <c r="D9" s="10">
        <v>1</v>
      </c>
      <c r="E9" s="3">
        <f t="shared" si="0"/>
        <v>303485</v>
      </c>
      <c r="F9" s="10" t="s">
        <v>516</v>
      </c>
    </row>
    <row r="10" spans="1:6" ht="51">
      <c r="A10" s="10" t="s">
        <v>522</v>
      </c>
      <c r="B10" s="10" t="s">
        <v>936</v>
      </c>
      <c r="C10" s="3">
        <f>393900*1.15</f>
        <v>452984.99999999994</v>
      </c>
      <c r="D10" s="10">
        <v>1</v>
      </c>
      <c r="E10" s="3">
        <f t="shared" si="0"/>
        <v>452984.99999999994</v>
      </c>
      <c r="F10" s="10" t="s">
        <v>516</v>
      </c>
    </row>
    <row r="11" spans="1:6" ht="51">
      <c r="A11" s="10" t="s">
        <v>523</v>
      </c>
      <c r="B11" s="10" t="s">
        <v>937</v>
      </c>
      <c r="C11" s="3">
        <f>666900*1.15</f>
        <v>766934.99999999988</v>
      </c>
      <c r="D11" s="10">
        <v>1</v>
      </c>
      <c r="E11" s="3">
        <f t="shared" si="0"/>
        <v>766934.99999999988</v>
      </c>
      <c r="F11" s="10" t="s">
        <v>516</v>
      </c>
    </row>
    <row r="12" spans="1:6" ht="51">
      <c r="A12" s="10" t="s">
        <v>524</v>
      </c>
      <c r="B12" s="10" t="s">
        <v>938</v>
      </c>
      <c r="C12" s="3">
        <f>1069900*1.15</f>
        <v>1230385</v>
      </c>
      <c r="D12" s="10">
        <v>1</v>
      </c>
      <c r="E12" s="3">
        <f t="shared" si="0"/>
        <v>1230385</v>
      </c>
      <c r="F12" s="10" t="s">
        <v>516</v>
      </c>
    </row>
    <row r="13" spans="1:6" ht="51">
      <c r="A13" s="10" t="s">
        <v>525</v>
      </c>
      <c r="B13" s="10" t="s">
        <v>939</v>
      </c>
      <c r="C13" s="3">
        <f>1719900*1.15</f>
        <v>1977884.9999999998</v>
      </c>
      <c r="D13" s="10">
        <v>1</v>
      </c>
      <c r="E13" s="3">
        <f t="shared" si="0"/>
        <v>1977884.9999999998</v>
      </c>
      <c r="F13" s="10" t="s">
        <v>516</v>
      </c>
    </row>
    <row r="14" spans="1:6" ht="51">
      <c r="A14" s="10" t="s">
        <v>526</v>
      </c>
      <c r="B14" s="10" t="s">
        <v>940</v>
      </c>
      <c r="C14" s="3">
        <f>3279900*1.15</f>
        <v>3771884.9999999995</v>
      </c>
      <c r="D14" s="10">
        <v>1</v>
      </c>
      <c r="E14" s="3">
        <f t="shared" si="0"/>
        <v>3771884.9999999995</v>
      </c>
      <c r="F14" s="10" t="s">
        <v>516</v>
      </c>
    </row>
    <row r="15" spans="1:6" ht="51">
      <c r="A15" s="10" t="s">
        <v>527</v>
      </c>
      <c r="B15" s="10" t="s">
        <v>941</v>
      </c>
      <c r="C15" s="3">
        <f>4579900*1.15</f>
        <v>5266885</v>
      </c>
      <c r="D15" s="10">
        <v>1</v>
      </c>
      <c r="E15" s="3">
        <f t="shared" si="0"/>
        <v>5266885</v>
      </c>
      <c r="F15" s="10" t="s">
        <v>516</v>
      </c>
    </row>
    <row r="16" spans="1:6" ht="15.75">
      <c r="A16" s="58" t="s">
        <v>436</v>
      </c>
      <c r="B16" s="59"/>
      <c r="C16" s="59"/>
      <c r="D16" s="59"/>
      <c r="E16" s="59"/>
      <c r="F16" s="60"/>
    </row>
    <row r="17" spans="1:6" ht="102">
      <c r="A17" s="10" t="s">
        <v>528</v>
      </c>
      <c r="B17" s="10" t="s">
        <v>942</v>
      </c>
      <c r="C17" s="3">
        <f t="shared" ref="C17:C28" si="1">ROUNDUP(C4*0.2,0.1)</f>
        <v>13359</v>
      </c>
      <c r="D17" s="10">
        <v>1</v>
      </c>
      <c r="E17" s="3">
        <f>C17*D17</f>
        <v>13359</v>
      </c>
      <c r="F17" s="10" t="s">
        <v>529</v>
      </c>
    </row>
    <row r="18" spans="1:6" ht="102">
      <c r="A18" s="10" t="s">
        <v>530</v>
      </c>
      <c r="B18" s="10" t="s">
        <v>943</v>
      </c>
      <c r="C18" s="3">
        <f t="shared" si="1"/>
        <v>17204</v>
      </c>
      <c r="D18" s="10">
        <v>1</v>
      </c>
      <c r="E18" s="3">
        <f>C18*D18</f>
        <v>17204</v>
      </c>
      <c r="F18" s="10" t="s">
        <v>529</v>
      </c>
    </row>
    <row r="19" spans="1:6" ht="102">
      <c r="A19" s="10" t="s">
        <v>531</v>
      </c>
      <c r="B19" s="10" t="s">
        <v>944</v>
      </c>
      <c r="C19" s="3">
        <f t="shared" si="1"/>
        <v>24288</v>
      </c>
      <c r="D19" s="10">
        <v>1</v>
      </c>
      <c r="E19" s="3">
        <f t="shared" ref="E19:E28" si="2">C19*D19</f>
        <v>24288</v>
      </c>
      <c r="F19" s="10" t="s">
        <v>529</v>
      </c>
    </row>
    <row r="20" spans="1:6" ht="102">
      <c r="A20" s="10" t="s">
        <v>532</v>
      </c>
      <c r="B20" s="10" t="s">
        <v>945</v>
      </c>
      <c r="C20" s="3">
        <f t="shared" si="1"/>
        <v>31188</v>
      </c>
      <c r="D20" s="10">
        <v>1</v>
      </c>
      <c r="E20" s="3">
        <f t="shared" si="2"/>
        <v>31188</v>
      </c>
      <c r="F20" s="10" t="s">
        <v>529</v>
      </c>
    </row>
    <row r="21" spans="1:6" ht="102">
      <c r="A21" s="10" t="s">
        <v>533</v>
      </c>
      <c r="B21" s="10" t="s">
        <v>946</v>
      </c>
      <c r="C21" s="3">
        <f t="shared" si="1"/>
        <v>44252</v>
      </c>
      <c r="D21" s="10">
        <v>1</v>
      </c>
      <c r="E21" s="3">
        <f t="shared" si="2"/>
        <v>44252</v>
      </c>
      <c r="F21" s="10" t="s">
        <v>529</v>
      </c>
    </row>
    <row r="22" spans="1:6" ht="102">
      <c r="A22" s="10" t="s">
        <v>534</v>
      </c>
      <c r="B22" s="10" t="s">
        <v>947</v>
      </c>
      <c r="C22" s="3">
        <f t="shared" si="1"/>
        <v>60697</v>
      </c>
      <c r="D22" s="10">
        <v>1</v>
      </c>
      <c r="E22" s="3">
        <f t="shared" si="2"/>
        <v>60697</v>
      </c>
      <c r="F22" s="10" t="s">
        <v>529</v>
      </c>
    </row>
    <row r="23" spans="1:6" ht="102">
      <c r="A23" s="10" t="s">
        <v>535</v>
      </c>
      <c r="B23" s="10" t="s">
        <v>948</v>
      </c>
      <c r="C23" s="3">
        <f t="shared" si="1"/>
        <v>90597</v>
      </c>
      <c r="D23" s="10">
        <v>1</v>
      </c>
      <c r="E23" s="3">
        <f t="shared" si="2"/>
        <v>90597</v>
      </c>
      <c r="F23" s="10" t="s">
        <v>529</v>
      </c>
    </row>
    <row r="24" spans="1:6" ht="102">
      <c r="A24" s="10" t="s">
        <v>536</v>
      </c>
      <c r="B24" s="10" t="s">
        <v>949</v>
      </c>
      <c r="C24" s="3">
        <f t="shared" si="1"/>
        <v>153387</v>
      </c>
      <c r="D24" s="10">
        <v>1</v>
      </c>
      <c r="E24" s="3">
        <f t="shared" si="2"/>
        <v>153387</v>
      </c>
      <c r="F24" s="10" t="s">
        <v>529</v>
      </c>
    </row>
    <row r="25" spans="1:6" ht="102">
      <c r="A25" s="10" t="s">
        <v>537</v>
      </c>
      <c r="B25" s="10" t="s">
        <v>1036</v>
      </c>
      <c r="C25" s="3">
        <f t="shared" si="1"/>
        <v>246077</v>
      </c>
      <c r="D25" s="10">
        <v>1</v>
      </c>
      <c r="E25" s="3">
        <f t="shared" si="2"/>
        <v>246077</v>
      </c>
      <c r="F25" s="10" t="s">
        <v>529</v>
      </c>
    </row>
    <row r="26" spans="1:6" ht="102">
      <c r="A26" s="10" t="s">
        <v>538</v>
      </c>
      <c r="B26" s="10" t="s">
        <v>1037</v>
      </c>
      <c r="C26" s="3">
        <f t="shared" si="1"/>
        <v>395577</v>
      </c>
      <c r="D26" s="10">
        <v>1</v>
      </c>
      <c r="E26" s="3">
        <f t="shared" si="2"/>
        <v>395577</v>
      </c>
      <c r="F26" s="10" t="s">
        <v>529</v>
      </c>
    </row>
    <row r="27" spans="1:6" ht="102">
      <c r="A27" s="10" t="s">
        <v>539</v>
      </c>
      <c r="B27" s="10" t="s">
        <v>1038</v>
      </c>
      <c r="C27" s="3">
        <f t="shared" si="1"/>
        <v>754377</v>
      </c>
      <c r="D27" s="10">
        <v>1</v>
      </c>
      <c r="E27" s="3">
        <f t="shared" si="2"/>
        <v>754377</v>
      </c>
      <c r="F27" s="10" t="s">
        <v>529</v>
      </c>
    </row>
    <row r="28" spans="1:6" ht="102">
      <c r="A28" s="10" t="s">
        <v>540</v>
      </c>
      <c r="B28" s="10" t="s">
        <v>950</v>
      </c>
      <c r="C28" s="3">
        <f t="shared" si="1"/>
        <v>1053377</v>
      </c>
      <c r="D28" s="10">
        <v>1</v>
      </c>
      <c r="E28" s="3">
        <f t="shared" si="2"/>
        <v>1053377</v>
      </c>
      <c r="F28" s="10" t="s">
        <v>529</v>
      </c>
    </row>
    <row r="29" spans="1:6" ht="15.75">
      <c r="A29" s="58" t="s">
        <v>458</v>
      </c>
      <c r="B29" s="59"/>
      <c r="C29" s="59"/>
      <c r="D29" s="59"/>
      <c r="E29" s="59"/>
      <c r="F29" s="60"/>
    </row>
    <row r="30" spans="1:6" ht="102">
      <c r="A30" s="10" t="s">
        <v>541</v>
      </c>
      <c r="B30" s="10" t="s">
        <v>951</v>
      </c>
      <c r="C30" s="3">
        <f t="shared" ref="C30:C38" si="3">ROUNDUP(C4*0.4,0.1)</f>
        <v>26717</v>
      </c>
      <c r="D30" s="10">
        <v>1</v>
      </c>
      <c r="E30" s="3">
        <f t="shared" ref="E30:E38" si="4">C30*D30</f>
        <v>26717</v>
      </c>
      <c r="F30" s="10" t="s">
        <v>542</v>
      </c>
    </row>
    <row r="31" spans="1:6" ht="102">
      <c r="A31" s="10" t="s">
        <v>543</v>
      </c>
      <c r="B31" s="10" t="s">
        <v>952</v>
      </c>
      <c r="C31" s="3">
        <f t="shared" si="3"/>
        <v>34408</v>
      </c>
      <c r="D31" s="10">
        <v>1</v>
      </c>
      <c r="E31" s="3">
        <f t="shared" si="4"/>
        <v>34408</v>
      </c>
      <c r="F31" s="10" t="s">
        <v>542</v>
      </c>
    </row>
    <row r="32" spans="1:6" ht="102">
      <c r="A32" s="10" t="s">
        <v>544</v>
      </c>
      <c r="B32" s="10" t="s">
        <v>953</v>
      </c>
      <c r="C32" s="3">
        <f t="shared" si="3"/>
        <v>48576</v>
      </c>
      <c r="D32" s="10">
        <v>1</v>
      </c>
      <c r="E32" s="3">
        <f t="shared" si="4"/>
        <v>48576</v>
      </c>
      <c r="F32" s="10" t="s">
        <v>542</v>
      </c>
    </row>
    <row r="33" spans="1:6" ht="102">
      <c r="A33" s="10" t="s">
        <v>545</v>
      </c>
      <c r="B33" s="10" t="s">
        <v>954</v>
      </c>
      <c r="C33" s="3">
        <f t="shared" si="3"/>
        <v>62376</v>
      </c>
      <c r="D33" s="10">
        <v>1</v>
      </c>
      <c r="E33" s="3">
        <f t="shared" si="4"/>
        <v>62376</v>
      </c>
      <c r="F33" s="10" t="s">
        <v>542</v>
      </c>
    </row>
    <row r="34" spans="1:6" ht="102">
      <c r="A34" s="10" t="s">
        <v>546</v>
      </c>
      <c r="B34" s="10" t="s">
        <v>955</v>
      </c>
      <c r="C34" s="3">
        <f t="shared" si="3"/>
        <v>88504</v>
      </c>
      <c r="D34" s="10">
        <v>1</v>
      </c>
      <c r="E34" s="3">
        <f t="shared" si="4"/>
        <v>88504</v>
      </c>
      <c r="F34" s="10" t="s">
        <v>542</v>
      </c>
    </row>
    <row r="35" spans="1:6" ht="102">
      <c r="A35" s="10" t="s">
        <v>547</v>
      </c>
      <c r="B35" s="10" t="s">
        <v>956</v>
      </c>
      <c r="C35" s="3">
        <f t="shared" si="3"/>
        <v>121394</v>
      </c>
      <c r="D35" s="10">
        <v>1</v>
      </c>
      <c r="E35" s="3">
        <f t="shared" si="4"/>
        <v>121394</v>
      </c>
      <c r="F35" s="10" t="s">
        <v>542</v>
      </c>
    </row>
    <row r="36" spans="1:6" ht="102">
      <c r="A36" s="10" t="s">
        <v>548</v>
      </c>
      <c r="B36" s="10" t="s">
        <v>957</v>
      </c>
      <c r="C36" s="3">
        <f t="shared" si="3"/>
        <v>181194</v>
      </c>
      <c r="D36" s="10">
        <v>1</v>
      </c>
      <c r="E36" s="3">
        <f t="shared" si="4"/>
        <v>181194</v>
      </c>
      <c r="F36" s="10" t="s">
        <v>542</v>
      </c>
    </row>
    <row r="37" spans="1:6" ht="102">
      <c r="A37" s="10" t="s">
        <v>549</v>
      </c>
      <c r="B37" s="10" t="s">
        <v>958</v>
      </c>
      <c r="C37" s="3">
        <f t="shared" si="3"/>
        <v>306774</v>
      </c>
      <c r="D37" s="10">
        <v>1</v>
      </c>
      <c r="E37" s="3">
        <f t="shared" si="4"/>
        <v>306774</v>
      </c>
      <c r="F37" s="10" t="s">
        <v>542</v>
      </c>
    </row>
    <row r="38" spans="1:6" ht="102">
      <c r="A38" s="10" t="s">
        <v>550</v>
      </c>
      <c r="B38" s="10" t="s">
        <v>959</v>
      </c>
      <c r="C38" s="3">
        <f t="shared" si="3"/>
        <v>492154</v>
      </c>
      <c r="D38" s="10">
        <v>1</v>
      </c>
      <c r="E38" s="3">
        <f t="shared" si="4"/>
        <v>492154</v>
      </c>
      <c r="F38" s="10" t="s">
        <v>542</v>
      </c>
    </row>
    <row r="39" spans="1:6" ht="15.75">
      <c r="A39" s="58" t="s">
        <v>112</v>
      </c>
      <c r="B39" s="59"/>
      <c r="C39" s="59"/>
      <c r="D39" s="59"/>
      <c r="E39" s="59"/>
      <c r="F39" s="60"/>
    </row>
    <row r="40" spans="1:6" ht="38.25">
      <c r="A40" s="17" t="s">
        <v>551</v>
      </c>
      <c r="B40" s="18" t="s">
        <v>960</v>
      </c>
      <c r="C40" s="11">
        <f>3000*1.2</f>
        <v>3600</v>
      </c>
      <c r="D40" s="10">
        <v>1</v>
      </c>
      <c r="E40" s="3">
        <f t="shared" ref="E40:E43" si="5">C40*D40</f>
        <v>3600</v>
      </c>
      <c r="F40" s="10" t="s">
        <v>552</v>
      </c>
    </row>
    <row r="41" spans="1:6" ht="38.25">
      <c r="A41" s="17" t="s">
        <v>553</v>
      </c>
      <c r="B41" s="18" t="s">
        <v>961</v>
      </c>
      <c r="C41" s="11">
        <f>2400*1.2</f>
        <v>2880</v>
      </c>
      <c r="D41" s="10">
        <v>1</v>
      </c>
      <c r="E41" s="3">
        <f t="shared" si="5"/>
        <v>2880</v>
      </c>
      <c r="F41" s="10" t="s">
        <v>552</v>
      </c>
    </row>
    <row r="42" spans="1:6" ht="38.25">
      <c r="A42" s="17" t="s">
        <v>554</v>
      </c>
      <c r="B42" s="18" t="s">
        <v>962</v>
      </c>
      <c r="C42" s="11">
        <f>1800*1.2</f>
        <v>2160</v>
      </c>
      <c r="D42" s="10">
        <v>1</v>
      </c>
      <c r="E42" s="3">
        <f t="shared" si="5"/>
        <v>2160</v>
      </c>
      <c r="F42" s="10" t="s">
        <v>552</v>
      </c>
    </row>
    <row r="43" spans="1:6" ht="38.25">
      <c r="A43" s="17" t="s">
        <v>555</v>
      </c>
      <c r="B43" s="18" t="s">
        <v>963</v>
      </c>
      <c r="C43" s="11">
        <f>1200*1.2</f>
        <v>1440</v>
      </c>
      <c r="D43" s="10">
        <v>1</v>
      </c>
      <c r="E43" s="3">
        <f t="shared" si="5"/>
        <v>1440</v>
      </c>
      <c r="F43" s="10" t="s">
        <v>552</v>
      </c>
    </row>
    <row r="44" spans="1:6" ht="19.5">
      <c r="A44" s="65" t="s">
        <v>17</v>
      </c>
      <c r="B44" s="66"/>
      <c r="C44" s="66"/>
      <c r="D44" s="66"/>
      <c r="E44" s="66"/>
      <c r="F44" s="67"/>
    </row>
    <row r="45" spans="1:6" ht="15.75">
      <c r="A45" s="58" t="s">
        <v>15</v>
      </c>
      <c r="B45" s="59"/>
      <c r="C45" s="59"/>
      <c r="D45" s="59"/>
      <c r="E45" s="59"/>
      <c r="F45" s="60"/>
    </row>
    <row r="46" spans="1:6" ht="76.5">
      <c r="A46" s="10" t="s">
        <v>556</v>
      </c>
      <c r="B46" s="10" t="s">
        <v>964</v>
      </c>
      <c r="C46" s="3">
        <f t="shared" ref="C46:C57" si="6">ROUNDUP(C4*0.4,0.1)</f>
        <v>26717</v>
      </c>
      <c r="D46" s="10">
        <v>1</v>
      </c>
      <c r="E46" s="3">
        <f t="shared" ref="E46:E57" si="7">C46*D46</f>
        <v>26717</v>
      </c>
      <c r="F46" s="10" t="s">
        <v>557</v>
      </c>
    </row>
    <row r="47" spans="1:6" ht="76.5">
      <c r="A47" s="10" t="s">
        <v>558</v>
      </c>
      <c r="B47" s="10" t="s">
        <v>965</v>
      </c>
      <c r="C47" s="3">
        <f t="shared" si="6"/>
        <v>34408</v>
      </c>
      <c r="D47" s="10">
        <v>1</v>
      </c>
      <c r="E47" s="3">
        <f t="shared" si="7"/>
        <v>34408</v>
      </c>
      <c r="F47" s="10" t="s">
        <v>557</v>
      </c>
    </row>
    <row r="48" spans="1:6" ht="76.5">
      <c r="A48" s="10" t="s">
        <v>559</v>
      </c>
      <c r="B48" s="10" t="s">
        <v>966</v>
      </c>
      <c r="C48" s="3">
        <f t="shared" si="6"/>
        <v>48576</v>
      </c>
      <c r="D48" s="10">
        <v>1</v>
      </c>
      <c r="E48" s="3">
        <f t="shared" si="7"/>
        <v>48576</v>
      </c>
      <c r="F48" s="10" t="s">
        <v>557</v>
      </c>
    </row>
    <row r="49" spans="1:6" ht="76.5">
      <c r="A49" s="10" t="s">
        <v>560</v>
      </c>
      <c r="B49" s="10" t="s">
        <v>967</v>
      </c>
      <c r="C49" s="3">
        <f t="shared" si="6"/>
        <v>62376</v>
      </c>
      <c r="D49" s="10">
        <v>1</v>
      </c>
      <c r="E49" s="3">
        <f t="shared" si="7"/>
        <v>62376</v>
      </c>
      <c r="F49" s="10" t="s">
        <v>557</v>
      </c>
    </row>
    <row r="50" spans="1:6" ht="76.5">
      <c r="A50" s="10" t="s">
        <v>561</v>
      </c>
      <c r="B50" s="10" t="s">
        <v>968</v>
      </c>
      <c r="C50" s="3">
        <f t="shared" si="6"/>
        <v>88504</v>
      </c>
      <c r="D50" s="10">
        <v>1</v>
      </c>
      <c r="E50" s="3">
        <f t="shared" si="7"/>
        <v>88504</v>
      </c>
      <c r="F50" s="10" t="s">
        <v>557</v>
      </c>
    </row>
    <row r="51" spans="1:6" ht="76.5">
      <c r="A51" s="10" t="s">
        <v>562</v>
      </c>
      <c r="B51" s="10" t="s">
        <v>969</v>
      </c>
      <c r="C51" s="3">
        <f t="shared" si="6"/>
        <v>121394</v>
      </c>
      <c r="D51" s="10">
        <v>1</v>
      </c>
      <c r="E51" s="3">
        <f t="shared" si="7"/>
        <v>121394</v>
      </c>
      <c r="F51" s="10" t="s">
        <v>557</v>
      </c>
    </row>
    <row r="52" spans="1:6" ht="76.5">
      <c r="A52" s="10" t="s">
        <v>563</v>
      </c>
      <c r="B52" s="10" t="s">
        <v>970</v>
      </c>
      <c r="C52" s="3">
        <f t="shared" si="6"/>
        <v>181194</v>
      </c>
      <c r="D52" s="10">
        <v>1</v>
      </c>
      <c r="E52" s="3">
        <f t="shared" si="7"/>
        <v>181194</v>
      </c>
      <c r="F52" s="10" t="s">
        <v>557</v>
      </c>
    </row>
    <row r="53" spans="1:6" ht="76.5">
      <c r="A53" s="10" t="s">
        <v>564</v>
      </c>
      <c r="B53" s="10" t="s">
        <v>971</v>
      </c>
      <c r="C53" s="3">
        <f t="shared" si="6"/>
        <v>306774</v>
      </c>
      <c r="D53" s="10">
        <v>1</v>
      </c>
      <c r="E53" s="3">
        <f t="shared" si="7"/>
        <v>306774</v>
      </c>
      <c r="F53" s="10" t="s">
        <v>557</v>
      </c>
    </row>
    <row r="54" spans="1:6" ht="76.5">
      <c r="A54" s="10" t="s">
        <v>565</v>
      </c>
      <c r="B54" s="10" t="s">
        <v>972</v>
      </c>
      <c r="C54" s="3">
        <f t="shared" si="6"/>
        <v>492154</v>
      </c>
      <c r="D54" s="10">
        <v>1</v>
      </c>
      <c r="E54" s="3">
        <f t="shared" si="7"/>
        <v>492154</v>
      </c>
      <c r="F54" s="10" t="s">
        <v>557</v>
      </c>
    </row>
    <row r="55" spans="1:6" ht="76.5">
      <c r="A55" s="10" t="s">
        <v>566</v>
      </c>
      <c r="B55" s="10" t="s">
        <v>973</v>
      </c>
      <c r="C55" s="3">
        <f t="shared" si="6"/>
        <v>791154</v>
      </c>
      <c r="D55" s="10">
        <v>1</v>
      </c>
      <c r="E55" s="3">
        <f t="shared" si="7"/>
        <v>791154</v>
      </c>
      <c r="F55" s="10" t="s">
        <v>557</v>
      </c>
    </row>
    <row r="56" spans="1:6" ht="76.5">
      <c r="A56" s="10" t="s">
        <v>567</v>
      </c>
      <c r="B56" s="10" t="s">
        <v>974</v>
      </c>
      <c r="C56" s="3">
        <f t="shared" si="6"/>
        <v>1508754</v>
      </c>
      <c r="D56" s="10">
        <v>1</v>
      </c>
      <c r="E56" s="3">
        <f t="shared" si="7"/>
        <v>1508754</v>
      </c>
      <c r="F56" s="10" t="s">
        <v>557</v>
      </c>
    </row>
    <row r="57" spans="1:6" ht="76.5">
      <c r="A57" s="10" t="s">
        <v>568</v>
      </c>
      <c r="B57" s="10" t="s">
        <v>975</v>
      </c>
      <c r="C57" s="3">
        <f t="shared" si="6"/>
        <v>2106754</v>
      </c>
      <c r="D57" s="10">
        <v>1</v>
      </c>
      <c r="E57" s="3">
        <f t="shared" si="7"/>
        <v>2106754</v>
      </c>
      <c r="F57" s="10" t="s">
        <v>557</v>
      </c>
    </row>
    <row r="58" spans="1:6" ht="15.75">
      <c r="A58" s="58" t="s">
        <v>146</v>
      </c>
      <c r="B58" s="59"/>
      <c r="C58" s="59"/>
      <c r="D58" s="59"/>
      <c r="E58" s="59"/>
      <c r="F58" s="60"/>
    </row>
    <row r="59" spans="1:6" ht="51">
      <c r="A59" s="10" t="s">
        <v>569</v>
      </c>
      <c r="B59" s="10" t="s">
        <v>976</v>
      </c>
      <c r="C59" s="3">
        <f>C40*0.4</f>
        <v>1440</v>
      </c>
      <c r="D59" s="10">
        <v>1</v>
      </c>
      <c r="E59" s="3">
        <f t="shared" ref="E59:E62" si="8">C59*D59</f>
        <v>1440</v>
      </c>
      <c r="F59" s="10" t="s">
        <v>255</v>
      </c>
    </row>
    <row r="60" spans="1:6" ht="51">
      <c r="A60" s="10" t="s">
        <v>570</v>
      </c>
      <c r="B60" s="10" t="s">
        <v>977</v>
      </c>
      <c r="C60" s="3">
        <f>C41*0.4</f>
        <v>1152</v>
      </c>
      <c r="D60" s="10">
        <v>1</v>
      </c>
      <c r="E60" s="3">
        <f t="shared" si="8"/>
        <v>1152</v>
      </c>
      <c r="F60" s="10" t="s">
        <v>255</v>
      </c>
    </row>
    <row r="61" spans="1:6" ht="51">
      <c r="A61" s="10" t="s">
        <v>571</v>
      </c>
      <c r="B61" s="10" t="s">
        <v>978</v>
      </c>
      <c r="C61" s="3">
        <f>C42*0.4</f>
        <v>864</v>
      </c>
      <c r="D61" s="10">
        <v>1</v>
      </c>
      <c r="E61" s="3">
        <f t="shared" si="8"/>
        <v>864</v>
      </c>
      <c r="F61" s="10" t="s">
        <v>255</v>
      </c>
    </row>
    <row r="62" spans="1:6">
      <c r="A62" s="10" t="s">
        <v>572</v>
      </c>
      <c r="B62" s="10" t="s">
        <v>979</v>
      </c>
      <c r="C62" s="3">
        <f>C43*0.4</f>
        <v>576</v>
      </c>
      <c r="D62" s="10">
        <v>1</v>
      </c>
      <c r="E62" s="3">
        <f t="shared" si="8"/>
        <v>576</v>
      </c>
      <c r="F62" s="10" t="s">
        <v>255</v>
      </c>
    </row>
    <row r="63" spans="1:6" ht="21.75">
      <c r="A63" s="27" t="s">
        <v>180</v>
      </c>
      <c r="B63" s="22"/>
    </row>
    <row r="64" spans="1:6" ht="105">
      <c r="A64" s="49" t="s">
        <v>1094</v>
      </c>
      <c r="B64" s="25" t="s">
        <v>814</v>
      </c>
    </row>
    <row r="65" spans="1:2" ht="60">
      <c r="A65" s="24" t="s">
        <v>185</v>
      </c>
      <c r="B65" s="25" t="s">
        <v>186</v>
      </c>
    </row>
    <row r="66" spans="1:2">
      <c r="A66" s="24" t="s">
        <v>187</v>
      </c>
      <c r="B66" s="23" t="s">
        <v>188</v>
      </c>
    </row>
  </sheetData>
  <mergeCells count="8">
    <mergeCell ref="A39:F39"/>
    <mergeCell ref="A44:F44"/>
    <mergeCell ref="A45:F45"/>
    <mergeCell ref="A58:F58"/>
    <mergeCell ref="A1:F1"/>
    <mergeCell ref="A3:F3"/>
    <mergeCell ref="A16:F16"/>
    <mergeCell ref="A29:F29"/>
  </mergeCells>
  <hyperlinks>
    <hyperlink ref="B66" r:id="rId1" xr:uid="{00000000-0004-0000-08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59996337778862885"/>
  </sheetPr>
  <dimension ref="A1:F70"/>
  <sheetViews>
    <sheetView zoomScale="90" zoomScaleNormal="90" workbookViewId="0">
      <selection activeCell="G2" sqref="G1:J1048576"/>
    </sheetView>
  </sheetViews>
  <sheetFormatPr defaultColWidth="8.7109375" defaultRowHeight="15"/>
  <cols>
    <col min="1" max="1" width="26.42578125" customWidth="1"/>
    <col min="2" max="2" width="62.140625" customWidth="1"/>
    <col min="3" max="5" width="14.42578125" customWidth="1"/>
    <col min="6" max="6" width="60" customWidth="1"/>
  </cols>
  <sheetData>
    <row r="1" spans="1:6" ht="17.25">
      <c r="A1" s="57" t="s">
        <v>809</v>
      </c>
      <c r="B1" s="57"/>
      <c r="C1" s="57"/>
      <c r="D1" s="57"/>
      <c r="E1" s="57"/>
      <c r="F1" s="57"/>
    </row>
    <row r="2" spans="1:6">
      <c r="A2" s="8" t="s">
        <v>11</v>
      </c>
      <c r="B2" s="8" t="s">
        <v>12</v>
      </c>
      <c r="C2" s="8" t="s">
        <v>18</v>
      </c>
      <c r="D2" s="8" t="s">
        <v>273</v>
      </c>
      <c r="E2" s="8" t="s">
        <v>20</v>
      </c>
      <c r="F2" s="8" t="s">
        <v>14</v>
      </c>
    </row>
    <row r="3" spans="1:6" ht="15.75">
      <c r="A3" s="54" t="s">
        <v>15</v>
      </c>
      <c r="B3" s="55"/>
      <c r="C3" s="55"/>
      <c r="D3" s="55"/>
      <c r="E3" s="55"/>
      <c r="F3" s="56"/>
    </row>
    <row r="4" spans="1:6" ht="63.75">
      <c r="A4" s="10" t="s">
        <v>1158</v>
      </c>
      <c r="B4" s="18" t="s">
        <v>1173</v>
      </c>
      <c r="C4" s="3">
        <f>'Сканер-ВС Инспектор 7.0 ФСТЭК '!C4+30000</f>
        <v>96792</v>
      </c>
      <c r="D4" s="10">
        <v>1</v>
      </c>
      <c r="E4" s="3">
        <f>C4*D4</f>
        <v>96792</v>
      </c>
      <c r="F4" s="10" t="s">
        <v>575</v>
      </c>
    </row>
    <row r="5" spans="1:6" ht="63.75">
      <c r="A5" s="10" t="s">
        <v>1159</v>
      </c>
      <c r="B5" s="18" t="s">
        <v>1174</v>
      </c>
      <c r="C5" s="3">
        <f>'Сканер-ВС Инспектор 7.0 ФСТЭК '!C5+50000</f>
        <v>136020</v>
      </c>
      <c r="D5" s="10">
        <v>1</v>
      </c>
      <c r="E5" s="3">
        <f t="shared" ref="E5:E8" si="0">C5*D5</f>
        <v>136020</v>
      </c>
      <c r="F5" s="10" t="s">
        <v>575</v>
      </c>
    </row>
    <row r="6" spans="1:6" ht="63.75">
      <c r="A6" s="10" t="s">
        <v>1160</v>
      </c>
      <c r="B6" s="18" t="s">
        <v>1175</v>
      </c>
      <c r="C6" s="3">
        <f>'Сканер-ВС Инспектор 7.0 ФСТЭК '!C6+90000</f>
        <v>211440</v>
      </c>
      <c r="D6" s="10">
        <v>1</v>
      </c>
      <c r="E6" s="3">
        <f t="shared" si="0"/>
        <v>211440</v>
      </c>
      <c r="F6" s="10" t="s">
        <v>575</v>
      </c>
    </row>
    <row r="7" spans="1:6" ht="63.75">
      <c r="A7" s="10" t="s">
        <v>1161</v>
      </c>
      <c r="B7" s="18" t="s">
        <v>1176</v>
      </c>
      <c r="C7" s="3">
        <f>'Сканер-ВС Инспектор 7.0 ФСТЭК '!C7+150000</f>
        <v>305940</v>
      </c>
      <c r="D7" s="10">
        <v>1</v>
      </c>
      <c r="E7" s="3">
        <f t="shared" si="0"/>
        <v>305940</v>
      </c>
      <c r="F7" s="10" t="s">
        <v>575</v>
      </c>
    </row>
    <row r="8" spans="1:6" ht="63.75">
      <c r="A8" s="10" t="s">
        <v>1162</v>
      </c>
      <c r="B8" s="18" t="s">
        <v>1177</v>
      </c>
      <c r="C8" s="3">
        <f>'Сканер-ВС Инспектор 7.0 ФСТЭК '!C8+200000</f>
        <v>421260</v>
      </c>
      <c r="D8" s="10">
        <v>1</v>
      </c>
      <c r="E8" s="3">
        <f t="shared" si="0"/>
        <v>421260</v>
      </c>
      <c r="F8" s="10" t="s">
        <v>575</v>
      </c>
    </row>
    <row r="9" spans="1:6" ht="63.75">
      <c r="A9" s="10" t="s">
        <v>573</v>
      </c>
      <c r="B9" s="18" t="s">
        <v>574</v>
      </c>
      <c r="C9" s="3">
        <f>600000*1.2</f>
        <v>720000</v>
      </c>
      <c r="D9" s="10">
        <v>1</v>
      </c>
      <c r="E9" s="3">
        <f t="shared" ref="E9:E15" si="1">C9*D9</f>
        <v>720000</v>
      </c>
      <c r="F9" s="10" t="s">
        <v>575</v>
      </c>
    </row>
    <row r="10" spans="1:6" ht="63.75">
      <c r="A10" s="10" t="s">
        <v>576</v>
      </c>
      <c r="B10" s="18" t="s">
        <v>577</v>
      </c>
      <c r="C10" s="3">
        <f>1100000*1.2</f>
        <v>1320000</v>
      </c>
      <c r="D10" s="10">
        <v>1</v>
      </c>
      <c r="E10" s="3">
        <f t="shared" si="1"/>
        <v>1320000</v>
      </c>
      <c r="F10" s="10" t="s">
        <v>575</v>
      </c>
    </row>
    <row r="11" spans="1:6" ht="63.75">
      <c r="A11" s="10" t="s">
        <v>578</v>
      </c>
      <c r="B11" s="18" t="s">
        <v>579</v>
      </c>
      <c r="C11" s="3">
        <f>1600000*1.2</f>
        <v>1920000</v>
      </c>
      <c r="D11" s="10">
        <v>1</v>
      </c>
      <c r="E11" s="3">
        <f t="shared" si="1"/>
        <v>1920000</v>
      </c>
      <c r="F11" s="10" t="s">
        <v>575</v>
      </c>
    </row>
    <row r="12" spans="1:6" ht="63.75">
      <c r="A12" s="10" t="s">
        <v>580</v>
      </c>
      <c r="B12" s="18" t="s">
        <v>581</v>
      </c>
      <c r="C12" s="3">
        <f>2100000*1.2</f>
        <v>2520000</v>
      </c>
      <c r="D12" s="10">
        <v>1</v>
      </c>
      <c r="E12" s="3">
        <f t="shared" si="1"/>
        <v>2520000</v>
      </c>
      <c r="F12" s="10" t="s">
        <v>575</v>
      </c>
    </row>
    <row r="13" spans="1:6" ht="63.75">
      <c r="A13" s="10" t="s">
        <v>582</v>
      </c>
      <c r="B13" s="18" t="s">
        <v>583</v>
      </c>
      <c r="C13" s="3">
        <f>'Сканер-ВС Инспектор 7.0 ФСТЭК '!C13+1500000</f>
        <v>3477885</v>
      </c>
      <c r="D13" s="10">
        <v>1</v>
      </c>
      <c r="E13" s="3">
        <f t="shared" si="1"/>
        <v>3477885</v>
      </c>
      <c r="F13" s="10" t="s">
        <v>575</v>
      </c>
    </row>
    <row r="14" spans="1:6" ht="63.75">
      <c r="A14" s="10" t="s">
        <v>584</v>
      </c>
      <c r="B14" s="18" t="s">
        <v>585</v>
      </c>
      <c r="C14" s="3">
        <f>'Сканер-ВС Инспектор 7.0 ФСТЭК '!C14+1750000</f>
        <v>5521885</v>
      </c>
      <c r="D14" s="10">
        <v>1</v>
      </c>
      <c r="E14" s="3">
        <f t="shared" si="1"/>
        <v>5521885</v>
      </c>
      <c r="F14" s="10" t="s">
        <v>575</v>
      </c>
    </row>
    <row r="15" spans="1:6" ht="63.75">
      <c r="A15" s="10" t="s">
        <v>586</v>
      </c>
      <c r="B15" s="18" t="s">
        <v>587</v>
      </c>
      <c r="C15" s="3">
        <f>'Сканер-ВС Инспектор 7.0 ФСТЭК '!C15+2000000</f>
        <v>7266885</v>
      </c>
      <c r="D15" s="10">
        <v>1</v>
      </c>
      <c r="E15" s="3">
        <f t="shared" si="1"/>
        <v>7266885</v>
      </c>
      <c r="F15" s="10" t="s">
        <v>575</v>
      </c>
    </row>
    <row r="16" spans="1:6" ht="15.75">
      <c r="A16" s="54" t="s">
        <v>412</v>
      </c>
      <c r="B16" s="55"/>
      <c r="C16" s="55"/>
      <c r="D16" s="55"/>
      <c r="E16" s="55"/>
      <c r="F16" s="56"/>
    </row>
    <row r="17" spans="1:6" ht="15.75">
      <c r="A17" s="54" t="s">
        <v>804</v>
      </c>
      <c r="B17" s="55"/>
      <c r="C17" s="55"/>
      <c r="D17" s="55"/>
      <c r="E17" s="55"/>
      <c r="F17" s="56"/>
    </row>
    <row r="18" spans="1:6" ht="78" customHeight="1">
      <c r="A18" s="10" t="s">
        <v>1215</v>
      </c>
      <c r="B18" s="18" t="s">
        <v>1226</v>
      </c>
      <c r="C18" s="3">
        <f>C4+32500+10000</f>
        <v>139292</v>
      </c>
      <c r="D18" s="10">
        <v>1</v>
      </c>
      <c r="E18" s="3">
        <f t="shared" ref="E18:E27" si="2">C18*D18</f>
        <v>139292</v>
      </c>
      <c r="F18" s="10" t="s">
        <v>1213</v>
      </c>
    </row>
    <row r="19" spans="1:6" ht="76.5">
      <c r="A19" s="10" t="s">
        <v>1214</v>
      </c>
      <c r="B19" s="18" t="s">
        <v>1227</v>
      </c>
      <c r="C19" s="3">
        <f t="shared" ref="C19:C29" si="3">C5+32500+10000</f>
        <v>178520</v>
      </c>
      <c r="D19" s="10">
        <v>1</v>
      </c>
      <c r="E19" s="3">
        <f t="shared" si="2"/>
        <v>178520</v>
      </c>
      <c r="F19" s="10" t="s">
        <v>1213</v>
      </c>
    </row>
    <row r="20" spans="1:6" ht="76.5">
      <c r="A20" s="10" t="s">
        <v>1216</v>
      </c>
      <c r="B20" s="18" t="s">
        <v>1228</v>
      </c>
      <c r="C20" s="3">
        <f t="shared" si="3"/>
        <v>253940</v>
      </c>
      <c r="D20" s="10">
        <v>1</v>
      </c>
      <c r="E20" s="3">
        <f t="shared" si="2"/>
        <v>253940</v>
      </c>
      <c r="F20" s="10" t="s">
        <v>1213</v>
      </c>
    </row>
    <row r="21" spans="1:6" ht="76.5">
      <c r="A21" s="10" t="s">
        <v>1217</v>
      </c>
      <c r="B21" s="18" t="s">
        <v>1229</v>
      </c>
      <c r="C21" s="3">
        <f t="shared" si="3"/>
        <v>348440</v>
      </c>
      <c r="D21" s="10">
        <v>1</v>
      </c>
      <c r="E21" s="3">
        <f t="shared" si="2"/>
        <v>348440</v>
      </c>
      <c r="F21" s="10" t="s">
        <v>1213</v>
      </c>
    </row>
    <row r="22" spans="1:6" ht="76.5">
      <c r="A22" s="10" t="s">
        <v>1218</v>
      </c>
      <c r="B22" s="18" t="s">
        <v>1230</v>
      </c>
      <c r="C22" s="3">
        <f t="shared" si="3"/>
        <v>463760</v>
      </c>
      <c r="D22" s="10">
        <v>1</v>
      </c>
      <c r="E22" s="3">
        <f t="shared" si="2"/>
        <v>463760</v>
      </c>
      <c r="F22" s="10" t="s">
        <v>1213</v>
      </c>
    </row>
    <row r="23" spans="1:6" ht="76.5">
      <c r="A23" s="10" t="s">
        <v>1219</v>
      </c>
      <c r="B23" s="18" t="s">
        <v>1231</v>
      </c>
      <c r="C23" s="3">
        <f t="shared" si="3"/>
        <v>762500</v>
      </c>
      <c r="D23" s="10">
        <v>1</v>
      </c>
      <c r="E23" s="3">
        <f t="shared" si="2"/>
        <v>762500</v>
      </c>
      <c r="F23" s="10" t="s">
        <v>1213</v>
      </c>
    </row>
    <row r="24" spans="1:6" ht="76.5">
      <c r="A24" s="10" t="s">
        <v>1220</v>
      </c>
      <c r="B24" s="18" t="s">
        <v>1232</v>
      </c>
      <c r="C24" s="3">
        <f t="shared" si="3"/>
        <v>1362500</v>
      </c>
      <c r="D24" s="10">
        <v>1</v>
      </c>
      <c r="E24" s="3">
        <f t="shared" si="2"/>
        <v>1362500</v>
      </c>
      <c r="F24" s="10" t="s">
        <v>1213</v>
      </c>
    </row>
    <row r="25" spans="1:6" ht="76.5">
      <c r="A25" s="10" t="s">
        <v>1221</v>
      </c>
      <c r="B25" s="18" t="s">
        <v>1233</v>
      </c>
      <c r="C25" s="3">
        <f t="shared" si="3"/>
        <v>1962500</v>
      </c>
      <c r="D25" s="10">
        <v>1</v>
      </c>
      <c r="E25" s="3">
        <f t="shared" si="2"/>
        <v>1962500</v>
      </c>
      <c r="F25" s="10" t="s">
        <v>1213</v>
      </c>
    </row>
    <row r="26" spans="1:6" ht="76.5">
      <c r="A26" s="10" t="s">
        <v>1222</v>
      </c>
      <c r="B26" s="18" t="s">
        <v>1234</v>
      </c>
      <c r="C26" s="3">
        <f t="shared" si="3"/>
        <v>2562500</v>
      </c>
      <c r="D26" s="10">
        <v>1</v>
      </c>
      <c r="E26" s="3">
        <f t="shared" si="2"/>
        <v>2562500</v>
      </c>
      <c r="F26" s="10" t="s">
        <v>1213</v>
      </c>
    </row>
    <row r="27" spans="1:6" ht="76.5">
      <c r="A27" s="10" t="s">
        <v>1223</v>
      </c>
      <c r="B27" s="18" t="s">
        <v>1235</v>
      </c>
      <c r="C27" s="3">
        <f t="shared" si="3"/>
        <v>3520385</v>
      </c>
      <c r="D27" s="10">
        <v>1</v>
      </c>
      <c r="E27" s="3">
        <f t="shared" si="2"/>
        <v>3520385</v>
      </c>
      <c r="F27" s="10" t="s">
        <v>1213</v>
      </c>
    </row>
    <row r="28" spans="1:6" ht="76.5">
      <c r="A28" s="10" t="s">
        <v>1224</v>
      </c>
      <c r="B28" s="18" t="s">
        <v>1236</v>
      </c>
      <c r="C28" s="3">
        <f t="shared" si="3"/>
        <v>5564385</v>
      </c>
      <c r="D28" s="10">
        <v>1</v>
      </c>
      <c r="E28" s="3">
        <f>C28*D28</f>
        <v>5564385</v>
      </c>
      <c r="F28" s="10" t="s">
        <v>1213</v>
      </c>
    </row>
    <row r="29" spans="1:6" ht="76.5">
      <c r="A29" s="10" t="s">
        <v>1225</v>
      </c>
      <c r="B29" s="18" t="s">
        <v>1237</v>
      </c>
      <c r="C29" s="3">
        <f t="shared" si="3"/>
        <v>7309385</v>
      </c>
      <c r="D29" s="10">
        <v>1</v>
      </c>
      <c r="E29" s="3">
        <f>C29*D29</f>
        <v>7309385</v>
      </c>
      <c r="F29" s="10" t="s">
        <v>1213</v>
      </c>
    </row>
    <row r="30" spans="1:6" ht="15.75">
      <c r="A30" s="58" t="s">
        <v>289</v>
      </c>
      <c r="B30" s="59"/>
      <c r="C30" s="59"/>
      <c r="D30" s="59"/>
      <c r="E30" s="59"/>
      <c r="F30" s="60"/>
    </row>
    <row r="31" spans="1:6" ht="38.25">
      <c r="A31" s="18" t="s">
        <v>1163</v>
      </c>
      <c r="B31" s="18" t="s">
        <v>1178</v>
      </c>
      <c r="C31" s="3">
        <f>(C4-'Сканер-ВС Инспектор 7.0 ФСТЭК '!C4)*1.1</f>
        <v>33000</v>
      </c>
      <c r="D31" s="10">
        <v>1</v>
      </c>
      <c r="E31" s="3">
        <f t="shared" ref="E31:E35" si="4">C31*D31</f>
        <v>33000</v>
      </c>
      <c r="F31" s="10" t="s">
        <v>292</v>
      </c>
    </row>
    <row r="32" spans="1:6" ht="38.25">
      <c r="A32" s="18" t="s">
        <v>1164</v>
      </c>
      <c r="B32" s="18" t="s">
        <v>1179</v>
      </c>
      <c r="C32" s="3">
        <f>(C5-'Сканер-ВС Инспектор 7.0 ФСТЭК '!C5)*1.1</f>
        <v>55000.000000000007</v>
      </c>
      <c r="D32" s="10">
        <v>1</v>
      </c>
      <c r="E32" s="3">
        <f t="shared" si="4"/>
        <v>55000.000000000007</v>
      </c>
      <c r="F32" s="10" t="s">
        <v>292</v>
      </c>
    </row>
    <row r="33" spans="1:6" ht="38.25">
      <c r="A33" s="18" t="s">
        <v>1165</v>
      </c>
      <c r="B33" s="18" t="s">
        <v>1180</v>
      </c>
      <c r="C33" s="3">
        <f>(C6-'Сканер-ВС Инспектор 7.0 ФСТЭК '!C6)*1.1</f>
        <v>99000.000000000029</v>
      </c>
      <c r="D33" s="10">
        <v>1</v>
      </c>
      <c r="E33" s="3">
        <f t="shared" si="4"/>
        <v>99000.000000000029</v>
      </c>
      <c r="F33" s="10" t="s">
        <v>292</v>
      </c>
    </row>
    <row r="34" spans="1:6" ht="38.25">
      <c r="A34" s="18" t="s">
        <v>1166</v>
      </c>
      <c r="B34" s="18" t="s">
        <v>1181</v>
      </c>
      <c r="C34" s="3">
        <f>(C7-'Сканер-ВС Инспектор 7.0 ФСТЭК '!C7)*1.1</f>
        <v>165000</v>
      </c>
      <c r="D34" s="10">
        <v>1</v>
      </c>
      <c r="E34" s="3">
        <f t="shared" si="4"/>
        <v>165000</v>
      </c>
      <c r="F34" s="10" t="s">
        <v>292</v>
      </c>
    </row>
    <row r="35" spans="1:6" ht="38.25">
      <c r="A35" s="18" t="s">
        <v>1167</v>
      </c>
      <c r="B35" s="18" t="s">
        <v>1182</v>
      </c>
      <c r="C35" s="3">
        <f>(C8-'Сканер-ВС Инспектор 7.0 ФСТЭК '!C8)*1.1</f>
        <v>220000.00000000006</v>
      </c>
      <c r="D35" s="10">
        <v>1</v>
      </c>
      <c r="E35" s="3">
        <f t="shared" si="4"/>
        <v>220000.00000000006</v>
      </c>
      <c r="F35" s="10" t="s">
        <v>292</v>
      </c>
    </row>
    <row r="36" spans="1:6" ht="38.25">
      <c r="A36" s="18" t="s">
        <v>588</v>
      </c>
      <c r="B36" s="18" t="s">
        <v>589</v>
      </c>
      <c r="C36" s="3">
        <f>ROUNDUP((C9-'Сканер-ВС Инспектор 7.0 ФСТЭК '!C9)*1.1,0)</f>
        <v>458167</v>
      </c>
      <c r="D36" s="10">
        <v>1</v>
      </c>
      <c r="E36" s="3">
        <f t="shared" ref="E36:E42" si="5">C36*D36</f>
        <v>458167</v>
      </c>
      <c r="F36" s="10" t="s">
        <v>292</v>
      </c>
    </row>
    <row r="37" spans="1:6" ht="38.25">
      <c r="A37" s="18" t="s">
        <v>590</v>
      </c>
      <c r="B37" s="18" t="s">
        <v>591</v>
      </c>
      <c r="C37" s="3">
        <f>ROUNDUP((C10-'Сканер-ВС Инспектор 7.0 ФСТЭК '!C10)*1.1,0)</f>
        <v>953717</v>
      </c>
      <c r="D37" s="10">
        <v>1</v>
      </c>
      <c r="E37" s="3">
        <f t="shared" si="5"/>
        <v>953717</v>
      </c>
      <c r="F37" s="10" t="s">
        <v>292</v>
      </c>
    </row>
    <row r="38" spans="1:6" ht="38.25">
      <c r="A38" s="18" t="s">
        <v>592</v>
      </c>
      <c r="B38" s="18" t="s">
        <v>593</v>
      </c>
      <c r="C38" s="3">
        <f>ROUNDUP((C11-'Сканер-ВС Инспектор 7.0 ФСТЭК '!C11)*1.1,0)</f>
        <v>1268372</v>
      </c>
      <c r="D38" s="10">
        <v>1</v>
      </c>
      <c r="E38" s="3">
        <f t="shared" si="5"/>
        <v>1268372</v>
      </c>
      <c r="F38" s="10" t="s">
        <v>292</v>
      </c>
    </row>
    <row r="39" spans="1:6" ht="38.25">
      <c r="A39" s="18" t="s">
        <v>594</v>
      </c>
      <c r="B39" s="18" t="s">
        <v>595</v>
      </c>
      <c r="C39" s="3">
        <f>ROUNDUP((C12-'Сканер-ВС Инспектор 7.0 ФСТЭК '!C12)*1.1,0)</f>
        <v>1418577</v>
      </c>
      <c r="D39" s="10">
        <v>1</v>
      </c>
      <c r="E39" s="3">
        <f t="shared" si="5"/>
        <v>1418577</v>
      </c>
      <c r="F39" s="10" t="s">
        <v>292</v>
      </c>
    </row>
    <row r="40" spans="1:6" ht="38.25">
      <c r="A40" s="18" t="s">
        <v>596</v>
      </c>
      <c r="B40" s="18" t="s">
        <v>597</v>
      </c>
      <c r="C40" s="3">
        <f>ROUNDUP((C13-'Сканер-ВС Инспектор 7.0 ФСТЭК '!C13)*1.1,0)</f>
        <v>1650000</v>
      </c>
      <c r="D40" s="10">
        <v>1</v>
      </c>
      <c r="E40" s="3">
        <f t="shared" si="5"/>
        <v>1650000</v>
      </c>
      <c r="F40" s="10" t="s">
        <v>292</v>
      </c>
    </row>
    <row r="41" spans="1:6" ht="38.25">
      <c r="A41" s="18" t="s">
        <v>598</v>
      </c>
      <c r="B41" s="18" t="s">
        <v>599</v>
      </c>
      <c r="C41" s="3">
        <f>ROUNDUP((C14-'Сканер-ВС Инспектор 7.0 ФСТЭК '!C14)*1.1,0)</f>
        <v>1925000</v>
      </c>
      <c r="D41" s="10">
        <v>1</v>
      </c>
      <c r="E41" s="3">
        <f t="shared" si="5"/>
        <v>1925000</v>
      </c>
      <c r="F41" s="10" t="s">
        <v>292</v>
      </c>
    </row>
    <row r="42" spans="1:6" ht="38.25">
      <c r="A42" s="18" t="s">
        <v>600</v>
      </c>
      <c r="B42" s="18" t="s">
        <v>601</v>
      </c>
      <c r="C42" s="3">
        <f>ROUNDUP((C15-'Сканер-ВС Инспектор 7.0 ФСТЭК '!C15)*1.1,0)</f>
        <v>2200000</v>
      </c>
      <c r="D42" s="10">
        <v>1</v>
      </c>
      <c r="E42" s="3">
        <f t="shared" si="5"/>
        <v>2200000</v>
      </c>
      <c r="F42" s="10" t="s">
        <v>292</v>
      </c>
    </row>
    <row r="43" spans="1:6" ht="15.75">
      <c r="A43" s="58" t="s">
        <v>112</v>
      </c>
      <c r="B43" s="59"/>
      <c r="C43" s="59"/>
      <c r="D43" s="59"/>
      <c r="E43" s="59"/>
      <c r="F43" s="60"/>
    </row>
    <row r="44" spans="1:6" ht="25.5">
      <c r="A44" s="18" t="s">
        <v>602</v>
      </c>
      <c r="B44" s="18" t="s">
        <v>603</v>
      </c>
      <c r="C44" s="3">
        <f>7000*1.2</f>
        <v>8400</v>
      </c>
      <c r="D44" s="10">
        <v>1</v>
      </c>
      <c r="E44" s="3">
        <f t="shared" ref="E44:E45" si="6">C44*D44</f>
        <v>8400</v>
      </c>
      <c r="F44" s="10" t="s">
        <v>307</v>
      </c>
    </row>
    <row r="45" spans="1:6" ht="25.5">
      <c r="A45" s="18" t="s">
        <v>604</v>
      </c>
      <c r="B45" s="18" t="s">
        <v>605</v>
      </c>
      <c r="C45" s="3">
        <f>6000*1.2</f>
        <v>7200</v>
      </c>
      <c r="D45" s="10">
        <v>1</v>
      </c>
      <c r="E45" s="3">
        <f t="shared" si="6"/>
        <v>7200</v>
      </c>
      <c r="F45" s="10" t="s">
        <v>307</v>
      </c>
    </row>
    <row r="46" spans="1:6" ht="25.5">
      <c r="A46" s="18" t="s">
        <v>606</v>
      </c>
      <c r="B46" s="18" t="s">
        <v>607</v>
      </c>
      <c r="C46" s="3">
        <f>5000*1.2</f>
        <v>6000</v>
      </c>
      <c r="D46" s="10">
        <v>1</v>
      </c>
      <c r="E46" s="3">
        <f t="shared" ref="E46:E47" si="7">C46*D46</f>
        <v>6000</v>
      </c>
      <c r="F46" s="10" t="s">
        <v>307</v>
      </c>
    </row>
    <row r="47" spans="1:6" ht="25.5">
      <c r="A47" s="18" t="s">
        <v>608</v>
      </c>
      <c r="B47" s="18" t="s">
        <v>609</v>
      </c>
      <c r="C47" s="3">
        <v>4800</v>
      </c>
      <c r="D47" s="10">
        <v>1</v>
      </c>
      <c r="E47" s="3">
        <f t="shared" si="7"/>
        <v>4800</v>
      </c>
      <c r="F47" s="10" t="s">
        <v>307</v>
      </c>
    </row>
    <row r="48" spans="1:6" ht="19.5">
      <c r="A48" s="65" t="s">
        <v>17</v>
      </c>
      <c r="B48" s="66"/>
      <c r="C48" s="66"/>
      <c r="D48" s="66"/>
      <c r="E48" s="66"/>
      <c r="F48" s="67"/>
    </row>
    <row r="49" spans="1:6" ht="15.75">
      <c r="A49" s="58" t="s">
        <v>15</v>
      </c>
      <c r="B49" s="59"/>
      <c r="C49" s="59"/>
      <c r="D49" s="59"/>
      <c r="E49" s="59"/>
      <c r="F49" s="60"/>
    </row>
    <row r="50" spans="1:6" ht="63.75">
      <c r="A50" s="18" t="s">
        <v>1168</v>
      </c>
      <c r="B50" s="18" t="s">
        <v>1183</v>
      </c>
      <c r="C50" s="11">
        <f t="shared" ref="C50:C61" si="8">ROUNDUP(C4*0.4,0.1)</f>
        <v>38717</v>
      </c>
      <c r="D50" s="10">
        <v>1</v>
      </c>
      <c r="E50" s="3">
        <f t="shared" ref="E50:E54" si="9">C50*D50</f>
        <v>38717</v>
      </c>
      <c r="F50" s="10" t="s">
        <v>1147</v>
      </c>
    </row>
    <row r="51" spans="1:6" ht="63.75">
      <c r="A51" s="18" t="s">
        <v>1169</v>
      </c>
      <c r="B51" s="18" t="s">
        <v>1184</v>
      </c>
      <c r="C51" s="11">
        <f t="shared" si="8"/>
        <v>54408</v>
      </c>
      <c r="D51" s="10">
        <v>1</v>
      </c>
      <c r="E51" s="3">
        <f t="shared" si="9"/>
        <v>54408</v>
      </c>
      <c r="F51" s="10" t="s">
        <v>316</v>
      </c>
    </row>
    <row r="52" spans="1:6" ht="63.75">
      <c r="A52" s="18" t="s">
        <v>1170</v>
      </c>
      <c r="B52" s="18" t="s">
        <v>1185</v>
      </c>
      <c r="C52" s="11">
        <f t="shared" si="8"/>
        <v>84576</v>
      </c>
      <c r="D52" s="10">
        <v>1</v>
      </c>
      <c r="E52" s="3">
        <f t="shared" si="9"/>
        <v>84576</v>
      </c>
      <c r="F52" s="10" t="s">
        <v>316</v>
      </c>
    </row>
    <row r="53" spans="1:6" ht="63.75">
      <c r="A53" s="18" t="s">
        <v>1171</v>
      </c>
      <c r="B53" s="18" t="s">
        <v>1186</v>
      </c>
      <c r="C53" s="11">
        <f t="shared" si="8"/>
        <v>122376</v>
      </c>
      <c r="D53" s="10">
        <v>1</v>
      </c>
      <c r="E53" s="3">
        <f t="shared" si="9"/>
        <v>122376</v>
      </c>
      <c r="F53" s="10" t="s">
        <v>316</v>
      </c>
    </row>
    <row r="54" spans="1:6" ht="63.75">
      <c r="A54" s="18" t="s">
        <v>1172</v>
      </c>
      <c r="B54" s="18" t="s">
        <v>1187</v>
      </c>
      <c r="C54" s="11">
        <f t="shared" si="8"/>
        <v>168504</v>
      </c>
      <c r="D54" s="10">
        <v>1</v>
      </c>
      <c r="E54" s="3">
        <f t="shared" si="9"/>
        <v>168504</v>
      </c>
      <c r="F54" s="10" t="s">
        <v>316</v>
      </c>
    </row>
    <row r="55" spans="1:6" ht="63.75">
      <c r="A55" s="18" t="s">
        <v>610</v>
      </c>
      <c r="B55" s="18" t="s">
        <v>611</v>
      </c>
      <c r="C55" s="11">
        <f t="shared" si="8"/>
        <v>288000</v>
      </c>
      <c r="D55" s="10">
        <v>1</v>
      </c>
      <c r="E55" s="3">
        <f t="shared" ref="E55:E61" si="10">C55*D55</f>
        <v>288000</v>
      </c>
      <c r="F55" s="10" t="s">
        <v>316</v>
      </c>
    </row>
    <row r="56" spans="1:6" ht="63.75">
      <c r="A56" s="18" t="s">
        <v>612</v>
      </c>
      <c r="B56" s="18" t="s">
        <v>613</v>
      </c>
      <c r="C56" s="11">
        <f t="shared" si="8"/>
        <v>528000</v>
      </c>
      <c r="D56" s="10">
        <v>1</v>
      </c>
      <c r="E56" s="3">
        <f t="shared" si="10"/>
        <v>528000</v>
      </c>
      <c r="F56" s="10" t="s">
        <v>316</v>
      </c>
    </row>
    <row r="57" spans="1:6" ht="63.75">
      <c r="A57" s="18" t="s">
        <v>614</v>
      </c>
      <c r="B57" s="18" t="s">
        <v>615</v>
      </c>
      <c r="C57" s="11">
        <f t="shared" si="8"/>
        <v>768000</v>
      </c>
      <c r="D57" s="10">
        <v>1</v>
      </c>
      <c r="E57" s="3">
        <f t="shared" si="10"/>
        <v>768000</v>
      </c>
      <c r="F57" s="10" t="s">
        <v>316</v>
      </c>
    </row>
    <row r="58" spans="1:6" ht="63.75">
      <c r="A58" s="18" t="s">
        <v>616</v>
      </c>
      <c r="B58" s="18" t="s">
        <v>617</v>
      </c>
      <c r="C58" s="11">
        <f t="shared" si="8"/>
        <v>1008000</v>
      </c>
      <c r="D58" s="10">
        <v>1</v>
      </c>
      <c r="E58" s="3">
        <f t="shared" si="10"/>
        <v>1008000</v>
      </c>
      <c r="F58" s="10" t="s">
        <v>316</v>
      </c>
    </row>
    <row r="59" spans="1:6" ht="63.75">
      <c r="A59" s="18" t="s">
        <v>618</v>
      </c>
      <c r="B59" s="18" t="s">
        <v>619</v>
      </c>
      <c r="C59" s="11">
        <f t="shared" si="8"/>
        <v>1391154</v>
      </c>
      <c r="D59" s="10">
        <v>1</v>
      </c>
      <c r="E59" s="3">
        <f t="shared" si="10"/>
        <v>1391154</v>
      </c>
      <c r="F59" s="10" t="s">
        <v>316</v>
      </c>
    </row>
    <row r="60" spans="1:6" ht="63.75">
      <c r="A60" s="18" t="s">
        <v>620</v>
      </c>
      <c r="B60" s="18" t="s">
        <v>621</v>
      </c>
      <c r="C60" s="11">
        <f t="shared" si="8"/>
        <v>2208754</v>
      </c>
      <c r="D60" s="10">
        <v>1</v>
      </c>
      <c r="E60" s="3">
        <f t="shared" si="10"/>
        <v>2208754</v>
      </c>
      <c r="F60" s="10" t="s">
        <v>316</v>
      </c>
    </row>
    <row r="61" spans="1:6" ht="63.75">
      <c r="A61" s="18" t="s">
        <v>622</v>
      </c>
      <c r="B61" s="18" t="s">
        <v>623</v>
      </c>
      <c r="C61" s="11">
        <f t="shared" si="8"/>
        <v>2906754</v>
      </c>
      <c r="D61" s="10">
        <v>1</v>
      </c>
      <c r="E61" s="3">
        <f t="shared" si="10"/>
        <v>2906754</v>
      </c>
      <c r="F61" s="10" t="s">
        <v>316</v>
      </c>
    </row>
    <row r="62" spans="1:6" ht="15.75">
      <c r="A62" s="58" t="s">
        <v>330</v>
      </c>
      <c r="B62" s="59"/>
      <c r="C62" s="59"/>
      <c r="D62" s="59"/>
      <c r="E62" s="59"/>
      <c r="F62" s="60"/>
    </row>
    <row r="63" spans="1:6" ht="25.5">
      <c r="A63" s="18" t="s">
        <v>624</v>
      </c>
      <c r="B63" s="18" t="s">
        <v>603</v>
      </c>
      <c r="C63" s="3">
        <f>C44*0.4</f>
        <v>3360</v>
      </c>
      <c r="D63" s="10">
        <v>1</v>
      </c>
      <c r="E63" s="3">
        <f t="shared" ref="E63:E64" si="11">C63*D63</f>
        <v>3360</v>
      </c>
      <c r="F63" s="10" t="s">
        <v>307</v>
      </c>
    </row>
    <row r="64" spans="1:6" ht="25.5">
      <c r="A64" s="18" t="s">
        <v>625</v>
      </c>
      <c r="B64" s="18" t="s">
        <v>605</v>
      </c>
      <c r="C64" s="3">
        <f>C45*0.4</f>
        <v>2880</v>
      </c>
      <c r="D64" s="10">
        <v>1</v>
      </c>
      <c r="E64" s="3">
        <f t="shared" si="11"/>
        <v>2880</v>
      </c>
      <c r="F64" s="10" t="s">
        <v>307</v>
      </c>
    </row>
    <row r="65" spans="1:6" ht="25.5">
      <c r="A65" s="18" t="s">
        <v>626</v>
      </c>
      <c r="B65" s="18" t="s">
        <v>607</v>
      </c>
      <c r="C65" s="3">
        <f>C46*0.4</f>
        <v>2400</v>
      </c>
      <c r="D65" s="10">
        <v>1</v>
      </c>
      <c r="E65" s="3">
        <f t="shared" ref="E65:E66" si="12">C65*D65</f>
        <v>2400</v>
      </c>
      <c r="F65" s="10" t="s">
        <v>307</v>
      </c>
    </row>
    <row r="66" spans="1:6">
      <c r="A66" s="18" t="s">
        <v>627</v>
      </c>
      <c r="B66" s="18" t="s">
        <v>609</v>
      </c>
      <c r="C66" s="3">
        <f>C47*0.4</f>
        <v>1920</v>
      </c>
      <c r="D66" s="10">
        <v>1</v>
      </c>
      <c r="E66" s="3">
        <f t="shared" si="12"/>
        <v>1920</v>
      </c>
      <c r="F66" s="10" t="s">
        <v>307</v>
      </c>
    </row>
    <row r="67" spans="1:6" ht="21.75">
      <c r="A67" s="27" t="s">
        <v>180</v>
      </c>
      <c r="B67" s="22"/>
    </row>
    <row r="68" spans="1:6" ht="120">
      <c r="A68" s="24" t="s">
        <v>628</v>
      </c>
      <c r="B68" s="25" t="s">
        <v>629</v>
      </c>
    </row>
    <row r="69" spans="1:6" ht="45">
      <c r="A69" s="24" t="s">
        <v>185</v>
      </c>
      <c r="B69" s="25" t="s">
        <v>186</v>
      </c>
    </row>
    <row r="70" spans="1:6">
      <c r="A70" s="24" t="s">
        <v>187</v>
      </c>
      <c r="B70" s="23" t="s">
        <v>188</v>
      </c>
    </row>
  </sheetData>
  <mergeCells count="9">
    <mergeCell ref="A1:F1"/>
    <mergeCell ref="A62:F62"/>
    <mergeCell ref="A3:F3"/>
    <mergeCell ref="A43:F43"/>
    <mergeCell ref="A48:F48"/>
    <mergeCell ref="A49:F49"/>
    <mergeCell ref="A30:F30"/>
    <mergeCell ref="A16:F16"/>
    <mergeCell ref="A17:F17"/>
  </mergeCells>
  <hyperlinks>
    <hyperlink ref="B70" r:id="rId1" xr:uid="{00000000-0004-0000-09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59996337778862885"/>
  </sheetPr>
  <dimension ref="A1:F56"/>
  <sheetViews>
    <sheetView zoomScale="90" zoomScaleNormal="90" workbookViewId="0">
      <selection activeCell="C10" sqref="C10"/>
    </sheetView>
  </sheetViews>
  <sheetFormatPr defaultColWidth="8.7109375" defaultRowHeight="15"/>
  <cols>
    <col min="1" max="1" width="26.42578125" customWidth="1"/>
    <col min="2" max="2" width="63.140625" customWidth="1"/>
    <col min="3" max="5" width="14.42578125" customWidth="1"/>
    <col min="6" max="6" width="60" customWidth="1"/>
  </cols>
  <sheetData>
    <row r="1" spans="1:6" ht="17.25">
      <c r="A1" s="64" t="s">
        <v>810</v>
      </c>
      <c r="B1" s="57"/>
      <c r="C1" s="57"/>
      <c r="D1" s="57"/>
      <c r="E1" s="57"/>
      <c r="F1" s="57"/>
    </row>
    <row r="2" spans="1:6">
      <c r="A2" s="8" t="s">
        <v>11</v>
      </c>
      <c r="B2" s="8" t="s">
        <v>12</v>
      </c>
      <c r="C2" s="8" t="s">
        <v>18</v>
      </c>
      <c r="D2" s="8" t="s">
        <v>273</v>
      </c>
      <c r="E2" s="8" t="s">
        <v>20</v>
      </c>
      <c r="F2" s="8" t="s">
        <v>14</v>
      </c>
    </row>
    <row r="3" spans="1:6" ht="15.75">
      <c r="A3" s="54" t="s">
        <v>15</v>
      </c>
      <c r="B3" s="55"/>
      <c r="C3" s="55"/>
      <c r="D3" s="55"/>
      <c r="E3" s="55"/>
      <c r="F3" s="56"/>
    </row>
    <row r="4" spans="1:6" ht="76.5">
      <c r="A4" s="10" t="s">
        <v>630</v>
      </c>
      <c r="B4" s="18" t="s">
        <v>980</v>
      </c>
      <c r="C4" s="3">
        <f>'Сканер-ВС Инспектор 7.0 ФСТЭК '!C4+30000</f>
        <v>96792</v>
      </c>
      <c r="D4" s="10">
        <v>1</v>
      </c>
      <c r="E4" s="3">
        <f>C4*D4</f>
        <v>96792</v>
      </c>
      <c r="F4" s="10" t="s">
        <v>631</v>
      </c>
    </row>
    <row r="5" spans="1:6" ht="76.5">
      <c r="A5" s="10" t="s">
        <v>632</v>
      </c>
      <c r="B5" s="18" t="s">
        <v>981</v>
      </c>
      <c r="C5" s="3">
        <f>'Сканер-ВС Инспектор 7.0 ФСТЭК '!C5+50000</f>
        <v>136020</v>
      </c>
      <c r="D5" s="10">
        <v>1</v>
      </c>
      <c r="E5" s="3">
        <f t="shared" ref="E5:E15" si="0">C5*D5</f>
        <v>136020</v>
      </c>
      <c r="F5" s="10" t="s">
        <v>631</v>
      </c>
    </row>
    <row r="6" spans="1:6" ht="76.5">
      <c r="A6" s="10" t="s">
        <v>633</v>
      </c>
      <c r="B6" s="18" t="s">
        <v>982</v>
      </c>
      <c r="C6" s="3">
        <f>'Сканер-ВС Инспектор 7.0 ФСТЭК '!C6+90000</f>
        <v>211440</v>
      </c>
      <c r="D6" s="10">
        <v>1</v>
      </c>
      <c r="E6" s="3">
        <f t="shared" si="0"/>
        <v>211440</v>
      </c>
      <c r="F6" s="10" t="s">
        <v>631</v>
      </c>
    </row>
    <row r="7" spans="1:6" ht="76.5">
      <c r="A7" s="10" t="s">
        <v>634</v>
      </c>
      <c r="B7" s="18" t="s">
        <v>983</v>
      </c>
      <c r="C7" s="3">
        <f>'Сканер-ВС Инспектор 7.0 ФСТЭК '!C7+150000</f>
        <v>305940</v>
      </c>
      <c r="D7" s="10">
        <v>1</v>
      </c>
      <c r="E7" s="3">
        <f t="shared" si="0"/>
        <v>305940</v>
      </c>
      <c r="F7" s="10" t="s">
        <v>631</v>
      </c>
    </row>
    <row r="8" spans="1:6" ht="76.5">
      <c r="A8" s="10" t="s">
        <v>635</v>
      </c>
      <c r="B8" s="18" t="s">
        <v>984</v>
      </c>
      <c r="C8" s="3">
        <f>'Сканер-ВС Инспектор 7.0 ФСТЭК '!C8+200000</f>
        <v>421260</v>
      </c>
      <c r="D8" s="10">
        <v>1</v>
      </c>
      <c r="E8" s="3">
        <f t="shared" si="0"/>
        <v>421260</v>
      </c>
      <c r="F8" s="10" t="s">
        <v>631</v>
      </c>
    </row>
    <row r="9" spans="1:6" ht="76.5">
      <c r="A9" s="10" t="s">
        <v>636</v>
      </c>
      <c r="B9" s="18" t="s">
        <v>985</v>
      </c>
      <c r="C9" s="3">
        <f>600000*1.2</f>
        <v>720000</v>
      </c>
      <c r="D9" s="10">
        <v>1</v>
      </c>
      <c r="E9" s="3">
        <f t="shared" si="0"/>
        <v>720000</v>
      </c>
      <c r="F9" s="10" t="s">
        <v>631</v>
      </c>
    </row>
    <row r="10" spans="1:6" ht="76.5">
      <c r="A10" s="10" t="s">
        <v>637</v>
      </c>
      <c r="B10" s="18" t="s">
        <v>986</v>
      </c>
      <c r="C10" s="3">
        <f>1100000*1.2</f>
        <v>1320000</v>
      </c>
      <c r="D10" s="10">
        <v>1</v>
      </c>
      <c r="E10" s="3">
        <f t="shared" si="0"/>
        <v>1320000</v>
      </c>
      <c r="F10" s="10" t="s">
        <v>631</v>
      </c>
    </row>
    <row r="11" spans="1:6" ht="76.5">
      <c r="A11" s="10" t="s">
        <v>638</v>
      </c>
      <c r="B11" s="18" t="s">
        <v>987</v>
      </c>
      <c r="C11" s="3">
        <f>1600000*1.2</f>
        <v>1920000</v>
      </c>
      <c r="D11" s="10">
        <v>1</v>
      </c>
      <c r="E11" s="3">
        <f t="shared" si="0"/>
        <v>1920000</v>
      </c>
      <c r="F11" s="10" t="s">
        <v>631</v>
      </c>
    </row>
    <row r="12" spans="1:6" ht="76.5">
      <c r="A12" s="10" t="s">
        <v>639</v>
      </c>
      <c r="B12" s="18" t="s">
        <v>988</v>
      </c>
      <c r="C12" s="3">
        <f>2100000*1.2</f>
        <v>2520000</v>
      </c>
      <c r="D12" s="10">
        <v>1</v>
      </c>
      <c r="E12" s="3">
        <f t="shared" si="0"/>
        <v>2520000</v>
      </c>
      <c r="F12" s="10" t="s">
        <v>631</v>
      </c>
    </row>
    <row r="13" spans="1:6" ht="76.5">
      <c r="A13" s="10" t="s">
        <v>640</v>
      </c>
      <c r="B13" s="18" t="s">
        <v>989</v>
      </c>
      <c r="C13" s="3">
        <f>'Сканер-ВС Инспектор 7.0 ФСТЭК '!C13+1500000</f>
        <v>3477885</v>
      </c>
      <c r="D13" s="10">
        <v>1</v>
      </c>
      <c r="E13" s="3">
        <f t="shared" si="0"/>
        <v>3477885</v>
      </c>
      <c r="F13" s="10" t="s">
        <v>631</v>
      </c>
    </row>
    <row r="14" spans="1:6" ht="76.5">
      <c r="A14" s="10" t="s">
        <v>641</v>
      </c>
      <c r="B14" s="18" t="s">
        <v>990</v>
      </c>
      <c r="C14" s="3">
        <f>'Сканер-ВС Инспектор 7.0 ФСТЭК '!C14+1750000</f>
        <v>5521885</v>
      </c>
      <c r="D14" s="10">
        <v>1</v>
      </c>
      <c r="E14" s="3">
        <f t="shared" si="0"/>
        <v>5521885</v>
      </c>
      <c r="F14" s="10" t="s">
        <v>631</v>
      </c>
    </row>
    <row r="15" spans="1:6" ht="76.5">
      <c r="A15" s="10" t="s">
        <v>642</v>
      </c>
      <c r="B15" s="18" t="s">
        <v>991</v>
      </c>
      <c r="C15" s="3">
        <f>'Сканер-ВС Инспектор 7.0 ФСТЭК '!C15+2000000</f>
        <v>7266885</v>
      </c>
      <c r="D15" s="10">
        <v>1</v>
      </c>
      <c r="E15" s="3">
        <f t="shared" si="0"/>
        <v>7266885</v>
      </c>
      <c r="F15" s="10" t="s">
        <v>631</v>
      </c>
    </row>
    <row r="16" spans="1:6" ht="15.75">
      <c r="A16" s="58" t="s">
        <v>289</v>
      </c>
      <c r="B16" s="59"/>
      <c r="C16" s="59"/>
      <c r="D16" s="59"/>
      <c r="E16" s="59"/>
      <c r="F16" s="60"/>
    </row>
    <row r="17" spans="1:6" ht="51">
      <c r="A17" s="18" t="s">
        <v>643</v>
      </c>
      <c r="B17" s="18" t="s">
        <v>992</v>
      </c>
      <c r="C17" s="3">
        <f>(C4-'Сканер-ВС Инспектор 7.0 ФСТЭК '!C4)*1.1</f>
        <v>33000</v>
      </c>
      <c r="D17" s="10">
        <v>1</v>
      </c>
      <c r="E17" s="3">
        <f t="shared" ref="E17:E28" si="1">C17*D17</f>
        <v>33000</v>
      </c>
      <c r="F17" s="10" t="s">
        <v>355</v>
      </c>
    </row>
    <row r="18" spans="1:6" ht="51">
      <c r="A18" s="18" t="s">
        <v>644</v>
      </c>
      <c r="B18" s="18" t="s">
        <v>993</v>
      </c>
      <c r="C18" s="3">
        <f>(C5-'Сканер-ВС Инспектор 7.0 ФСТЭК '!C5)*1.1</f>
        <v>55000.000000000007</v>
      </c>
      <c r="D18" s="10">
        <v>1</v>
      </c>
      <c r="E18" s="3">
        <f t="shared" si="1"/>
        <v>55000.000000000007</v>
      </c>
      <c r="F18" s="10" t="s">
        <v>355</v>
      </c>
    </row>
    <row r="19" spans="1:6" ht="51">
      <c r="A19" s="18" t="s">
        <v>645</v>
      </c>
      <c r="B19" s="18" t="s">
        <v>994</v>
      </c>
      <c r="C19" s="3">
        <f>(C6-'Сканер-ВС Инспектор 7.0 ФСТЭК '!C6)*1.1</f>
        <v>99000.000000000029</v>
      </c>
      <c r="D19" s="10">
        <v>1</v>
      </c>
      <c r="E19" s="3">
        <f t="shared" si="1"/>
        <v>99000.000000000029</v>
      </c>
      <c r="F19" s="10" t="s">
        <v>355</v>
      </c>
    </row>
    <row r="20" spans="1:6" ht="51">
      <c r="A20" s="18" t="s">
        <v>646</v>
      </c>
      <c r="B20" s="18" t="s">
        <v>995</v>
      </c>
      <c r="C20" s="3">
        <f>(C7-'Сканер-ВС Инспектор 7.0 ФСТЭК '!C7)*1.1</f>
        <v>165000</v>
      </c>
      <c r="D20" s="10">
        <v>1</v>
      </c>
      <c r="E20" s="3">
        <f t="shared" si="1"/>
        <v>165000</v>
      </c>
      <c r="F20" s="10" t="s">
        <v>355</v>
      </c>
    </row>
    <row r="21" spans="1:6" ht="51">
      <c r="A21" s="18" t="s">
        <v>647</v>
      </c>
      <c r="B21" s="18" t="s">
        <v>996</v>
      </c>
      <c r="C21" s="3">
        <f>(C8-'Сканер-ВС Инспектор 7.0 ФСТЭК '!C8)*1.1</f>
        <v>220000.00000000006</v>
      </c>
      <c r="D21" s="10">
        <v>1</v>
      </c>
      <c r="E21" s="3">
        <f t="shared" si="1"/>
        <v>220000.00000000006</v>
      </c>
      <c r="F21" s="10" t="s">
        <v>355</v>
      </c>
    </row>
    <row r="22" spans="1:6" ht="51">
      <c r="A22" s="18" t="s">
        <v>648</v>
      </c>
      <c r="B22" s="18" t="s">
        <v>997</v>
      </c>
      <c r="C22" s="3">
        <f>ROUNDUP((C9-'Сканер-ВС Инспектор 7.0 ФСТЭК '!C9)*1.1,0)</f>
        <v>458167</v>
      </c>
      <c r="D22" s="10">
        <v>1</v>
      </c>
      <c r="E22" s="3">
        <f t="shared" si="1"/>
        <v>458167</v>
      </c>
      <c r="F22" s="10" t="s">
        <v>355</v>
      </c>
    </row>
    <row r="23" spans="1:6" ht="51">
      <c r="A23" s="18" t="s">
        <v>649</v>
      </c>
      <c r="B23" s="18" t="s">
        <v>998</v>
      </c>
      <c r="C23" s="3">
        <f>ROUNDUP((C10-'Сканер-ВС Инспектор 7.0 ФСТЭК '!C10)*1.1,0)</f>
        <v>953717</v>
      </c>
      <c r="D23" s="10">
        <v>1</v>
      </c>
      <c r="E23" s="3">
        <f t="shared" si="1"/>
        <v>953717</v>
      </c>
      <c r="F23" s="10" t="s">
        <v>355</v>
      </c>
    </row>
    <row r="24" spans="1:6" ht="51">
      <c r="A24" s="18" t="s">
        <v>650</v>
      </c>
      <c r="B24" s="18" t="s">
        <v>593</v>
      </c>
      <c r="C24" s="3">
        <f>ROUNDUP((C11-'Сканер-ВС Инспектор 7.0 ФСТЭК '!C11)*1.1,0)</f>
        <v>1268372</v>
      </c>
      <c r="D24" s="10">
        <v>1</v>
      </c>
      <c r="E24" s="3">
        <f t="shared" si="1"/>
        <v>1268372</v>
      </c>
      <c r="F24" s="10" t="s">
        <v>355</v>
      </c>
    </row>
    <row r="25" spans="1:6" ht="51">
      <c r="A25" s="18" t="s">
        <v>651</v>
      </c>
      <c r="B25" s="18" t="s">
        <v>999</v>
      </c>
      <c r="C25" s="3">
        <f>ROUNDUP((C12-'Сканер-ВС Инспектор 7.0 ФСТЭК '!C12)*1.1,0)</f>
        <v>1418577</v>
      </c>
      <c r="D25" s="10">
        <v>1</v>
      </c>
      <c r="E25" s="3">
        <f t="shared" si="1"/>
        <v>1418577</v>
      </c>
      <c r="F25" s="10" t="s">
        <v>355</v>
      </c>
    </row>
    <row r="26" spans="1:6" ht="51">
      <c r="A26" s="18" t="s">
        <v>652</v>
      </c>
      <c r="B26" s="18" t="s">
        <v>1000</v>
      </c>
      <c r="C26" s="3">
        <f>ROUNDUP((C13-'Сканер-ВС Инспектор 7.0 ФСТЭК '!C13)*1.1,0)</f>
        <v>1650000</v>
      </c>
      <c r="D26" s="10">
        <v>1</v>
      </c>
      <c r="E26" s="3">
        <f t="shared" si="1"/>
        <v>1650000</v>
      </c>
      <c r="F26" s="10" t="s">
        <v>355</v>
      </c>
    </row>
    <row r="27" spans="1:6" ht="51">
      <c r="A27" s="18" t="s">
        <v>653</v>
      </c>
      <c r="B27" s="18" t="s">
        <v>1001</v>
      </c>
      <c r="C27" s="3">
        <f>ROUNDUP((C14-'Сканер-ВС Инспектор 7.0 ФСТЭК '!C14)*1.1,0)</f>
        <v>1925000</v>
      </c>
      <c r="D27" s="10">
        <v>1</v>
      </c>
      <c r="E27" s="3">
        <f t="shared" si="1"/>
        <v>1925000</v>
      </c>
      <c r="F27" s="10" t="s">
        <v>355</v>
      </c>
    </row>
    <row r="28" spans="1:6" ht="51">
      <c r="A28" s="18" t="s">
        <v>654</v>
      </c>
      <c r="B28" s="18" t="s">
        <v>1002</v>
      </c>
      <c r="C28" s="3">
        <f>ROUNDUP((C15-'Сканер-ВС Инспектор 7.0 ФСТЭК '!C15)*1.1,0)</f>
        <v>2200000</v>
      </c>
      <c r="D28" s="10">
        <v>1</v>
      </c>
      <c r="E28" s="3">
        <f t="shared" si="1"/>
        <v>2200000</v>
      </c>
      <c r="F28" s="10" t="s">
        <v>355</v>
      </c>
    </row>
    <row r="29" spans="1:6" ht="15.75">
      <c r="A29" s="58" t="s">
        <v>112</v>
      </c>
      <c r="B29" s="59"/>
      <c r="C29" s="59"/>
      <c r="D29" s="59"/>
      <c r="E29" s="59"/>
      <c r="F29" s="60"/>
    </row>
    <row r="30" spans="1:6" ht="38.25">
      <c r="A30" s="18" t="s">
        <v>655</v>
      </c>
      <c r="B30" s="18" t="s">
        <v>1003</v>
      </c>
      <c r="C30" s="3">
        <f>7000*1.2</f>
        <v>8400</v>
      </c>
      <c r="D30" s="10">
        <v>1</v>
      </c>
      <c r="E30" s="3">
        <f t="shared" ref="E30:E33" si="2">C30*D30</f>
        <v>8400</v>
      </c>
      <c r="F30" s="10" t="s">
        <v>656</v>
      </c>
    </row>
    <row r="31" spans="1:6" ht="38.25">
      <c r="A31" s="18" t="s">
        <v>657</v>
      </c>
      <c r="B31" s="18" t="s">
        <v>1004</v>
      </c>
      <c r="C31" s="3">
        <f>6000*1.2</f>
        <v>7200</v>
      </c>
      <c r="D31" s="10">
        <v>1</v>
      </c>
      <c r="E31" s="3">
        <f t="shared" si="2"/>
        <v>7200</v>
      </c>
      <c r="F31" s="10" t="s">
        <v>656</v>
      </c>
    </row>
    <row r="32" spans="1:6" ht="25.5">
      <c r="A32" s="18" t="s">
        <v>658</v>
      </c>
      <c r="B32" s="18" t="s">
        <v>607</v>
      </c>
      <c r="C32" s="3">
        <f>5000*1.2</f>
        <v>6000</v>
      </c>
      <c r="D32" s="10">
        <v>1</v>
      </c>
      <c r="E32" s="3">
        <f t="shared" si="2"/>
        <v>6000</v>
      </c>
      <c r="F32" s="10" t="s">
        <v>656</v>
      </c>
    </row>
    <row r="33" spans="1:6" ht="25.5">
      <c r="A33" s="18" t="s">
        <v>659</v>
      </c>
      <c r="B33" s="18" t="s">
        <v>609</v>
      </c>
      <c r="C33" s="3">
        <v>4800</v>
      </c>
      <c r="D33" s="10">
        <v>1</v>
      </c>
      <c r="E33" s="3">
        <f t="shared" si="2"/>
        <v>4800</v>
      </c>
      <c r="F33" s="10" t="s">
        <v>656</v>
      </c>
    </row>
    <row r="34" spans="1:6" ht="19.5">
      <c r="A34" s="65" t="s">
        <v>17</v>
      </c>
      <c r="B34" s="66"/>
      <c r="C34" s="66"/>
      <c r="D34" s="66"/>
      <c r="E34" s="66"/>
      <c r="F34" s="67"/>
    </row>
    <row r="35" spans="1:6" ht="15.75">
      <c r="A35" s="58" t="s">
        <v>15</v>
      </c>
      <c r="B35" s="59"/>
      <c r="C35" s="59"/>
      <c r="D35" s="59"/>
      <c r="E35" s="59"/>
      <c r="F35" s="60"/>
    </row>
    <row r="36" spans="1:6" ht="76.5">
      <c r="A36" s="18" t="s">
        <v>660</v>
      </c>
      <c r="B36" s="18" t="s">
        <v>1005</v>
      </c>
      <c r="C36" s="11">
        <f t="shared" ref="C36:C47" si="3">ROUNDUP(C4*0.4,0.1)</f>
        <v>38717</v>
      </c>
      <c r="D36" s="10">
        <v>1</v>
      </c>
      <c r="E36" s="3">
        <f t="shared" ref="E36:E47" si="4">C36*D36</f>
        <v>38717</v>
      </c>
      <c r="F36" s="10" t="s">
        <v>373</v>
      </c>
    </row>
    <row r="37" spans="1:6" ht="76.5">
      <c r="A37" s="18" t="s">
        <v>661</v>
      </c>
      <c r="B37" s="18" t="s">
        <v>1006</v>
      </c>
      <c r="C37" s="11">
        <f t="shared" si="3"/>
        <v>54408</v>
      </c>
      <c r="D37" s="10">
        <v>1</v>
      </c>
      <c r="E37" s="3">
        <f t="shared" si="4"/>
        <v>54408</v>
      </c>
      <c r="F37" s="10" t="s">
        <v>373</v>
      </c>
    </row>
    <row r="38" spans="1:6" ht="76.5">
      <c r="A38" s="18" t="s">
        <v>662</v>
      </c>
      <c r="B38" s="18" t="s">
        <v>1007</v>
      </c>
      <c r="C38" s="11">
        <f t="shared" si="3"/>
        <v>84576</v>
      </c>
      <c r="D38" s="10">
        <v>1</v>
      </c>
      <c r="E38" s="3">
        <f t="shared" si="4"/>
        <v>84576</v>
      </c>
      <c r="F38" s="10" t="s">
        <v>373</v>
      </c>
    </row>
    <row r="39" spans="1:6" ht="76.5">
      <c r="A39" s="18" t="s">
        <v>663</v>
      </c>
      <c r="B39" s="18" t="s">
        <v>1008</v>
      </c>
      <c r="C39" s="11">
        <f t="shared" si="3"/>
        <v>122376</v>
      </c>
      <c r="D39" s="10">
        <v>1</v>
      </c>
      <c r="E39" s="3">
        <f t="shared" si="4"/>
        <v>122376</v>
      </c>
      <c r="F39" s="10" t="s">
        <v>373</v>
      </c>
    </row>
    <row r="40" spans="1:6" ht="76.5">
      <c r="A40" s="18" t="s">
        <v>664</v>
      </c>
      <c r="B40" s="18" t="s">
        <v>1009</v>
      </c>
      <c r="C40" s="11">
        <f t="shared" si="3"/>
        <v>168504</v>
      </c>
      <c r="D40" s="10">
        <v>1</v>
      </c>
      <c r="E40" s="3">
        <f t="shared" si="4"/>
        <v>168504</v>
      </c>
      <c r="F40" s="10" t="s">
        <v>373</v>
      </c>
    </row>
    <row r="41" spans="1:6" ht="76.5">
      <c r="A41" s="18" t="s">
        <v>665</v>
      </c>
      <c r="B41" s="18" t="s">
        <v>1010</v>
      </c>
      <c r="C41" s="11">
        <f t="shared" si="3"/>
        <v>288000</v>
      </c>
      <c r="D41" s="10">
        <v>1</v>
      </c>
      <c r="E41" s="3">
        <f t="shared" si="4"/>
        <v>288000</v>
      </c>
      <c r="F41" s="10" t="s">
        <v>373</v>
      </c>
    </row>
    <row r="42" spans="1:6" ht="76.5">
      <c r="A42" s="18" t="s">
        <v>666</v>
      </c>
      <c r="B42" s="18" t="s">
        <v>1011</v>
      </c>
      <c r="C42" s="11">
        <f t="shared" si="3"/>
        <v>528000</v>
      </c>
      <c r="D42" s="10">
        <v>1</v>
      </c>
      <c r="E42" s="3">
        <f t="shared" si="4"/>
        <v>528000</v>
      </c>
      <c r="F42" s="10" t="s">
        <v>373</v>
      </c>
    </row>
    <row r="43" spans="1:6" ht="76.5">
      <c r="A43" s="18" t="s">
        <v>667</v>
      </c>
      <c r="B43" s="18" t="s">
        <v>1012</v>
      </c>
      <c r="C43" s="11">
        <f t="shared" si="3"/>
        <v>768000</v>
      </c>
      <c r="D43" s="10">
        <v>1</v>
      </c>
      <c r="E43" s="3">
        <f t="shared" si="4"/>
        <v>768000</v>
      </c>
      <c r="F43" s="10" t="s">
        <v>373</v>
      </c>
    </row>
    <row r="44" spans="1:6" ht="76.5">
      <c r="A44" s="18" t="s">
        <v>668</v>
      </c>
      <c r="B44" s="18" t="s">
        <v>1013</v>
      </c>
      <c r="C44" s="11">
        <f t="shared" si="3"/>
        <v>1008000</v>
      </c>
      <c r="D44" s="10">
        <v>1</v>
      </c>
      <c r="E44" s="3">
        <f t="shared" si="4"/>
        <v>1008000</v>
      </c>
      <c r="F44" s="10" t="s">
        <v>373</v>
      </c>
    </row>
    <row r="45" spans="1:6" ht="76.5">
      <c r="A45" s="18" t="s">
        <v>669</v>
      </c>
      <c r="B45" s="18" t="s">
        <v>1014</v>
      </c>
      <c r="C45" s="11">
        <f t="shared" si="3"/>
        <v>1391154</v>
      </c>
      <c r="D45" s="10">
        <v>1</v>
      </c>
      <c r="E45" s="3">
        <f t="shared" si="4"/>
        <v>1391154</v>
      </c>
      <c r="F45" s="10" t="s">
        <v>373</v>
      </c>
    </row>
    <row r="46" spans="1:6" ht="76.5">
      <c r="A46" s="18" t="s">
        <v>670</v>
      </c>
      <c r="B46" s="18" t="s">
        <v>1015</v>
      </c>
      <c r="C46" s="11">
        <f t="shared" si="3"/>
        <v>2208754</v>
      </c>
      <c r="D46" s="10">
        <v>1</v>
      </c>
      <c r="E46" s="3">
        <f t="shared" si="4"/>
        <v>2208754</v>
      </c>
      <c r="F46" s="10" t="s">
        <v>373</v>
      </c>
    </row>
    <row r="47" spans="1:6" ht="76.5">
      <c r="A47" s="18" t="s">
        <v>671</v>
      </c>
      <c r="B47" s="18" t="s">
        <v>1016</v>
      </c>
      <c r="C47" s="11">
        <f t="shared" si="3"/>
        <v>2906754</v>
      </c>
      <c r="D47" s="10">
        <v>1</v>
      </c>
      <c r="E47" s="3">
        <f t="shared" si="4"/>
        <v>2906754</v>
      </c>
      <c r="F47" s="10" t="s">
        <v>373</v>
      </c>
    </row>
    <row r="48" spans="1:6" ht="15.75">
      <c r="A48" s="58" t="s">
        <v>330</v>
      </c>
      <c r="B48" s="59"/>
      <c r="C48" s="59"/>
      <c r="D48" s="59"/>
      <c r="E48" s="59"/>
      <c r="F48" s="60"/>
    </row>
    <row r="49" spans="1:6" ht="38.25">
      <c r="A49" s="18" t="s">
        <v>672</v>
      </c>
      <c r="B49" s="18" t="s">
        <v>1017</v>
      </c>
      <c r="C49" s="3">
        <f>C30*0.4</f>
        <v>3360</v>
      </c>
      <c r="D49" s="10">
        <v>1</v>
      </c>
      <c r="E49" s="3">
        <f t="shared" ref="E49:E52" si="5">C49*D49</f>
        <v>3360</v>
      </c>
      <c r="F49" s="10" t="s">
        <v>656</v>
      </c>
    </row>
    <row r="50" spans="1:6" ht="38.25">
      <c r="A50" s="18" t="s">
        <v>673</v>
      </c>
      <c r="B50" s="18" t="s">
        <v>1018</v>
      </c>
      <c r="C50" s="3">
        <f>C31*0.4</f>
        <v>2880</v>
      </c>
      <c r="D50" s="10">
        <v>1</v>
      </c>
      <c r="E50" s="3">
        <f t="shared" si="5"/>
        <v>2880</v>
      </c>
      <c r="F50" s="10" t="s">
        <v>656</v>
      </c>
    </row>
    <row r="51" spans="1:6" ht="38.25">
      <c r="A51" s="18" t="s">
        <v>674</v>
      </c>
      <c r="B51" s="18" t="s">
        <v>1019</v>
      </c>
      <c r="C51" s="3">
        <f>C32*0.4</f>
        <v>2400</v>
      </c>
      <c r="D51" s="10">
        <v>1</v>
      </c>
      <c r="E51" s="3">
        <f t="shared" si="5"/>
        <v>2400</v>
      </c>
      <c r="F51" s="10" t="s">
        <v>656</v>
      </c>
    </row>
    <row r="52" spans="1:6">
      <c r="A52" s="18" t="s">
        <v>675</v>
      </c>
      <c r="B52" s="18" t="s">
        <v>1020</v>
      </c>
      <c r="C52" s="3">
        <f>C33*0.4</f>
        <v>1920</v>
      </c>
      <c r="D52" s="10">
        <v>1</v>
      </c>
      <c r="E52" s="3">
        <f t="shared" si="5"/>
        <v>1920</v>
      </c>
      <c r="F52" s="10" t="s">
        <v>656</v>
      </c>
    </row>
    <row r="53" spans="1:6" ht="21.75">
      <c r="A53" s="27" t="s">
        <v>180</v>
      </c>
      <c r="B53" s="22"/>
    </row>
    <row r="54" spans="1:6" ht="105">
      <c r="A54" s="49" t="s">
        <v>1094</v>
      </c>
      <c r="B54" s="25" t="s">
        <v>812</v>
      </c>
    </row>
    <row r="55" spans="1:6" ht="45">
      <c r="A55" s="24" t="s">
        <v>185</v>
      </c>
      <c r="B55" s="25" t="s">
        <v>186</v>
      </c>
    </row>
    <row r="56" spans="1:6">
      <c r="A56" s="24" t="s">
        <v>187</v>
      </c>
      <c r="B56" s="23" t="s">
        <v>188</v>
      </c>
    </row>
  </sheetData>
  <mergeCells count="7">
    <mergeCell ref="A48:F48"/>
    <mergeCell ref="A1:F1"/>
    <mergeCell ref="A3:F3"/>
    <mergeCell ref="A16:F16"/>
    <mergeCell ref="A29:F29"/>
    <mergeCell ref="A34:F34"/>
    <mergeCell ref="A35:F35"/>
  </mergeCells>
  <hyperlinks>
    <hyperlink ref="B56" r:id="rId1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F2D1-F213-4DC7-B742-287B5EA247E9}">
  <sheetPr>
    <tabColor rgb="FF92D050"/>
  </sheetPr>
  <dimension ref="A1:J2"/>
  <sheetViews>
    <sheetView zoomScale="90" zoomScaleNormal="90" workbookViewId="0">
      <selection sqref="A1:J1"/>
    </sheetView>
  </sheetViews>
  <sheetFormatPr defaultRowHeight="15"/>
  <cols>
    <col min="1" max="1" width="28.140625" customWidth="1"/>
    <col min="2" max="2" width="84" customWidth="1"/>
  </cols>
  <sheetData>
    <row r="1" spans="1:10" ht="19.5">
      <c r="A1" s="87" t="s">
        <v>790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51.75" customHeight="1">
      <c r="A2" s="31" t="s">
        <v>676</v>
      </c>
      <c r="B2" s="30" t="s">
        <v>677</v>
      </c>
      <c r="C2" s="1"/>
      <c r="D2" s="1"/>
      <c r="E2" s="1"/>
      <c r="F2" s="1"/>
      <c r="G2" s="1"/>
      <c r="H2" s="1"/>
      <c r="I2" s="1"/>
      <c r="J2" s="1"/>
    </row>
  </sheetData>
  <mergeCells count="1">
    <mergeCell ref="A1:J1"/>
  </mergeCells>
  <hyperlinks>
    <hyperlink ref="B2" r:id="rId1" xr:uid="{38C340E3-146A-4D6D-B155-97D644AECBD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59996337778862885"/>
  </sheetPr>
  <dimension ref="A1:F27"/>
  <sheetViews>
    <sheetView topLeftCell="B1" zoomScale="90" zoomScaleNormal="90" workbookViewId="0">
      <selection activeCell="G2" sqref="G1:J1048576"/>
    </sheetView>
  </sheetViews>
  <sheetFormatPr defaultColWidth="9.42578125" defaultRowHeight="15.75"/>
  <cols>
    <col min="1" max="1" width="26.42578125" style="1" customWidth="1"/>
    <col min="2" max="2" width="60" style="9" customWidth="1"/>
    <col min="3" max="4" width="18.28515625" style="1" customWidth="1"/>
    <col min="5" max="5" width="32" style="1" customWidth="1"/>
    <col min="6" max="6" width="66.42578125" style="1" customWidth="1"/>
    <col min="7" max="16384" width="9.42578125" style="1"/>
  </cols>
  <sheetData>
    <row r="1" spans="1:6" ht="19.5">
      <c r="A1" s="69" t="s">
        <v>678</v>
      </c>
      <c r="B1" s="70"/>
      <c r="C1" s="70"/>
      <c r="D1" s="70"/>
      <c r="E1" s="70"/>
      <c r="F1" s="70"/>
    </row>
    <row r="2" spans="1:6" s="7" customFormat="1">
      <c r="A2" s="6" t="s">
        <v>11</v>
      </c>
      <c r="B2" s="8" t="s">
        <v>12</v>
      </c>
      <c r="C2" s="6" t="s">
        <v>18</v>
      </c>
      <c r="D2" s="6" t="s">
        <v>273</v>
      </c>
      <c r="E2" s="6" t="s">
        <v>20</v>
      </c>
      <c r="F2" s="6" t="s">
        <v>14</v>
      </c>
    </row>
    <row r="3" spans="1:6">
      <c r="A3" s="58" t="s">
        <v>15</v>
      </c>
      <c r="B3" s="59"/>
      <c r="C3" s="59"/>
      <c r="D3" s="59"/>
      <c r="E3" s="59"/>
      <c r="F3" s="60"/>
    </row>
    <row r="4" spans="1:6" ht="165.75">
      <c r="A4" s="10" t="s">
        <v>679</v>
      </c>
      <c r="B4" s="10" t="s">
        <v>680</v>
      </c>
      <c r="C4" s="3">
        <v>830000</v>
      </c>
      <c r="D4" s="10">
        <v>1</v>
      </c>
      <c r="E4" s="3">
        <f>C4*D4</f>
        <v>830000</v>
      </c>
      <c r="F4" s="37" t="s">
        <v>1041</v>
      </c>
    </row>
    <row r="5" spans="1:6" ht="114.75">
      <c r="A5" s="10" t="s">
        <v>681</v>
      </c>
      <c r="B5" s="10" t="s">
        <v>682</v>
      </c>
      <c r="C5" s="3">
        <v>1750000</v>
      </c>
      <c r="D5" s="10">
        <v>1</v>
      </c>
      <c r="E5" s="3">
        <f t="shared" ref="E5:E23" si="0">C5*D5</f>
        <v>1750000</v>
      </c>
      <c r="F5" s="10" t="s">
        <v>1042</v>
      </c>
    </row>
    <row r="6" spans="1:6" ht="114.75">
      <c r="A6" s="10" t="s">
        <v>683</v>
      </c>
      <c r="B6" s="10" t="s">
        <v>684</v>
      </c>
      <c r="C6" s="3">
        <v>5000000</v>
      </c>
      <c r="D6" s="10">
        <v>1</v>
      </c>
      <c r="E6" s="3">
        <f t="shared" si="0"/>
        <v>5000000</v>
      </c>
      <c r="F6" s="37" t="s">
        <v>1043</v>
      </c>
    </row>
    <row r="7" spans="1:6" ht="114.75">
      <c r="A7" s="10" t="s">
        <v>685</v>
      </c>
      <c r="B7" s="10" t="s">
        <v>686</v>
      </c>
      <c r="C7" s="3">
        <v>15000000</v>
      </c>
      <c r="D7" s="10">
        <v>1</v>
      </c>
      <c r="E7" s="3">
        <f t="shared" si="0"/>
        <v>15000000</v>
      </c>
      <c r="F7" s="10" t="s">
        <v>1044</v>
      </c>
    </row>
    <row r="8" spans="1:6" ht="102">
      <c r="A8" s="10" t="s">
        <v>687</v>
      </c>
      <c r="B8" s="10" t="s">
        <v>688</v>
      </c>
      <c r="C8" s="3">
        <v>350000</v>
      </c>
      <c r="D8" s="10">
        <v>1</v>
      </c>
      <c r="E8" s="3">
        <f t="shared" si="0"/>
        <v>350000</v>
      </c>
      <c r="F8" s="37" t="s">
        <v>1045</v>
      </c>
    </row>
    <row r="9" spans="1:6" ht="102">
      <c r="A9" s="37" t="s">
        <v>1046</v>
      </c>
      <c r="B9" s="37" t="s">
        <v>1047</v>
      </c>
      <c r="C9" s="39">
        <v>450000</v>
      </c>
      <c r="D9" s="10">
        <v>1</v>
      </c>
      <c r="E9" s="3">
        <f t="shared" si="0"/>
        <v>450000</v>
      </c>
      <c r="F9" s="37" t="s">
        <v>1050</v>
      </c>
    </row>
    <row r="10" spans="1:6" ht="114.75">
      <c r="A10" s="37" t="s">
        <v>1048</v>
      </c>
      <c r="B10" s="37" t="s">
        <v>1049</v>
      </c>
      <c r="C10" s="39">
        <v>500000</v>
      </c>
      <c r="D10" s="10">
        <v>1</v>
      </c>
      <c r="E10" s="3">
        <f t="shared" si="0"/>
        <v>500000</v>
      </c>
      <c r="F10" s="37" t="s">
        <v>1051</v>
      </c>
    </row>
    <row r="11" spans="1:6" ht="102">
      <c r="A11" s="10" t="s">
        <v>689</v>
      </c>
      <c r="B11" s="10" t="s">
        <v>690</v>
      </c>
      <c r="C11" s="3">
        <v>250000</v>
      </c>
      <c r="D11" s="10">
        <v>1</v>
      </c>
      <c r="E11" s="3">
        <f t="shared" si="0"/>
        <v>250000</v>
      </c>
      <c r="F11" s="10" t="s">
        <v>1052</v>
      </c>
    </row>
    <row r="12" spans="1:6">
      <c r="A12" s="61" t="s">
        <v>691</v>
      </c>
      <c r="B12" s="62"/>
      <c r="C12" s="62"/>
      <c r="D12" s="62"/>
      <c r="E12" s="62"/>
      <c r="F12" s="63"/>
    </row>
    <row r="13" spans="1:6" ht="25.5">
      <c r="A13" s="10" t="s">
        <v>692</v>
      </c>
      <c r="B13" s="10" t="s">
        <v>693</v>
      </c>
      <c r="C13" s="3">
        <v>500000</v>
      </c>
      <c r="D13" s="10">
        <v>1</v>
      </c>
      <c r="E13" s="3">
        <f t="shared" si="0"/>
        <v>500000</v>
      </c>
      <c r="F13" s="10" t="s">
        <v>694</v>
      </c>
    </row>
    <row r="14" spans="1:6" ht="25.5">
      <c r="A14" s="10" t="s">
        <v>695</v>
      </c>
      <c r="B14" s="10" t="s">
        <v>696</v>
      </c>
      <c r="C14" s="3">
        <v>700000</v>
      </c>
      <c r="D14" s="10">
        <v>1</v>
      </c>
      <c r="E14" s="3">
        <f t="shared" si="0"/>
        <v>700000</v>
      </c>
      <c r="F14" s="10" t="s">
        <v>694</v>
      </c>
    </row>
    <row r="15" spans="1:6" ht="25.5">
      <c r="A15" s="10" t="s">
        <v>697</v>
      </c>
      <c r="B15" s="10" t="s">
        <v>698</v>
      </c>
      <c r="C15" s="3">
        <v>1500000</v>
      </c>
      <c r="D15" s="10">
        <v>1</v>
      </c>
      <c r="E15" s="3">
        <f t="shared" si="0"/>
        <v>1500000</v>
      </c>
      <c r="F15" s="10" t="s">
        <v>694</v>
      </c>
    </row>
    <row r="16" spans="1:6" ht="40.5">
      <c r="A16" s="38" t="s">
        <v>1053</v>
      </c>
      <c r="B16" s="38" t="s">
        <v>1054</v>
      </c>
      <c r="C16" s="39">
        <v>350000</v>
      </c>
      <c r="D16" s="10">
        <v>1</v>
      </c>
      <c r="E16" s="3">
        <f t="shared" si="0"/>
        <v>350000</v>
      </c>
      <c r="F16" s="37" t="s">
        <v>1055</v>
      </c>
    </row>
    <row r="17" spans="1:6" ht="25.5">
      <c r="A17" s="10" t="s">
        <v>699</v>
      </c>
      <c r="B17" s="10" t="s">
        <v>700</v>
      </c>
      <c r="C17" s="3">
        <v>70000</v>
      </c>
      <c r="D17" s="10">
        <v>1</v>
      </c>
      <c r="E17" s="3">
        <f t="shared" si="0"/>
        <v>70000</v>
      </c>
      <c r="F17" s="10" t="s">
        <v>701</v>
      </c>
    </row>
    <row r="18" spans="1:6">
      <c r="A18" s="61" t="s">
        <v>702</v>
      </c>
      <c r="B18" s="62"/>
      <c r="C18" s="62"/>
      <c r="D18" s="62"/>
      <c r="E18" s="62"/>
      <c r="F18" s="63"/>
    </row>
    <row r="19" spans="1:6" ht="25.5">
      <c r="A19" s="10" t="s">
        <v>703</v>
      </c>
      <c r="B19" s="10" t="s">
        <v>704</v>
      </c>
      <c r="C19" s="34" t="s">
        <v>705</v>
      </c>
      <c r="D19" s="35">
        <v>1</v>
      </c>
      <c r="E19" s="34" t="s">
        <v>705</v>
      </c>
      <c r="F19" s="10" t="s">
        <v>706</v>
      </c>
    </row>
    <row r="20" spans="1:6" ht="25.5">
      <c r="A20" s="10" t="s">
        <v>707</v>
      </c>
      <c r="B20" s="10" t="s">
        <v>708</v>
      </c>
      <c r="C20" s="34" t="s">
        <v>709</v>
      </c>
      <c r="D20" s="35">
        <v>1</v>
      </c>
      <c r="E20" s="34" t="s">
        <v>709</v>
      </c>
      <c r="F20" s="3" t="s">
        <v>710</v>
      </c>
    </row>
    <row r="21" spans="1:6">
      <c r="A21" s="61" t="s">
        <v>711</v>
      </c>
      <c r="B21" s="62"/>
      <c r="C21" s="62"/>
      <c r="D21" s="62"/>
      <c r="E21" s="62"/>
      <c r="F21" s="63"/>
    </row>
    <row r="22" spans="1:6" ht="40.5">
      <c r="A22" s="38" t="s">
        <v>1056</v>
      </c>
      <c r="B22" s="38" t="s">
        <v>1057</v>
      </c>
      <c r="C22" s="39">
        <v>350000</v>
      </c>
      <c r="D22" s="10">
        <v>1</v>
      </c>
      <c r="E22" s="3">
        <f t="shared" si="0"/>
        <v>350000</v>
      </c>
      <c r="F22" s="37" t="s">
        <v>712</v>
      </c>
    </row>
    <row r="23" spans="1:6">
      <c r="A23" s="38" t="s">
        <v>1058</v>
      </c>
      <c r="B23" s="38" t="s">
        <v>1059</v>
      </c>
      <c r="C23" s="39">
        <v>100000</v>
      </c>
      <c r="D23" s="10">
        <v>1</v>
      </c>
      <c r="E23" s="3">
        <f t="shared" si="0"/>
        <v>100000</v>
      </c>
      <c r="F23" s="37" t="s">
        <v>1060</v>
      </c>
    </row>
    <row r="24" spans="1:6" ht="21.75">
      <c r="A24" s="32" t="s">
        <v>713</v>
      </c>
      <c r="B24" s="22"/>
    </row>
    <row r="25" spans="1:6">
      <c r="A25" s="71" t="s">
        <v>714</v>
      </c>
      <c r="B25" s="72"/>
    </row>
    <row r="26" spans="1:6" ht="81.75" customHeight="1">
      <c r="A26" s="71" t="s">
        <v>715</v>
      </c>
      <c r="B26" s="72"/>
    </row>
    <row r="27" spans="1:6" ht="75.75">
      <c r="A27" s="24" t="s">
        <v>716</v>
      </c>
      <c r="B27" s="25" t="s">
        <v>717</v>
      </c>
    </row>
  </sheetData>
  <mergeCells count="7">
    <mergeCell ref="A1:F1"/>
    <mergeCell ref="A25:B25"/>
    <mergeCell ref="A26:B26"/>
    <mergeCell ref="A3:F3"/>
    <mergeCell ref="A12:F12"/>
    <mergeCell ref="A18:F18"/>
    <mergeCell ref="A21:F2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EF3A-4E9C-4D41-856C-2D8E024DA8B2}">
  <sheetPr>
    <tabColor theme="4" tint="0.59996337778862885"/>
  </sheetPr>
  <dimension ref="A1:F27"/>
  <sheetViews>
    <sheetView topLeftCell="B1" zoomScale="90" zoomScaleNormal="90" workbookViewId="0">
      <selection activeCell="G2" sqref="G1:J1048576"/>
    </sheetView>
  </sheetViews>
  <sheetFormatPr defaultColWidth="9.42578125" defaultRowHeight="15.75"/>
  <cols>
    <col min="1" max="1" width="26.42578125" style="1" customWidth="1"/>
    <col min="2" max="2" width="60" style="9" customWidth="1"/>
    <col min="3" max="4" width="18.28515625" style="1" customWidth="1"/>
    <col min="5" max="5" width="32" style="1" customWidth="1"/>
    <col min="6" max="6" width="66.42578125" style="1" customWidth="1"/>
    <col min="7" max="16384" width="9.42578125" style="1"/>
  </cols>
  <sheetData>
    <row r="1" spans="1:6" ht="19.5">
      <c r="A1" s="69" t="s">
        <v>811</v>
      </c>
      <c r="B1" s="70"/>
      <c r="C1" s="70"/>
      <c r="D1" s="70"/>
      <c r="E1" s="70"/>
      <c r="F1" s="70"/>
    </row>
    <row r="2" spans="1:6" s="7" customFormat="1">
      <c r="A2" s="6" t="s">
        <v>11</v>
      </c>
      <c r="B2" s="8" t="s">
        <v>12</v>
      </c>
      <c r="C2" s="6" t="s">
        <v>18</v>
      </c>
      <c r="D2" s="6" t="s">
        <v>273</v>
      </c>
      <c r="E2" s="6" t="s">
        <v>20</v>
      </c>
      <c r="F2" s="6" t="s">
        <v>14</v>
      </c>
    </row>
    <row r="3" spans="1:6">
      <c r="A3" s="58" t="s">
        <v>15</v>
      </c>
      <c r="B3" s="59"/>
      <c r="C3" s="59"/>
      <c r="D3" s="59"/>
      <c r="E3" s="59"/>
      <c r="F3" s="60"/>
    </row>
    <row r="4" spans="1:6" ht="178.5">
      <c r="A4" s="10" t="s">
        <v>718</v>
      </c>
      <c r="B4" s="10" t="s">
        <v>1021</v>
      </c>
      <c r="C4" s="3">
        <v>830000</v>
      </c>
      <c r="D4" s="10">
        <v>1</v>
      </c>
      <c r="E4" s="3">
        <f>C4*D4</f>
        <v>830000</v>
      </c>
      <c r="F4" s="37" t="s">
        <v>1087</v>
      </c>
    </row>
    <row r="5" spans="1:6" ht="127.5">
      <c r="A5" s="10" t="s">
        <v>719</v>
      </c>
      <c r="B5" s="10" t="s">
        <v>1022</v>
      </c>
      <c r="C5" s="3">
        <v>1750000</v>
      </c>
      <c r="D5" s="10">
        <v>1</v>
      </c>
      <c r="E5" s="3">
        <f t="shared" ref="E5:E23" si="0">C5*D5</f>
        <v>1750000</v>
      </c>
      <c r="F5" s="10" t="s">
        <v>1086</v>
      </c>
    </row>
    <row r="6" spans="1:6" ht="127.5">
      <c r="A6" s="10" t="s">
        <v>720</v>
      </c>
      <c r="B6" s="10" t="s">
        <v>1023</v>
      </c>
      <c r="C6" s="3">
        <v>5000000</v>
      </c>
      <c r="D6" s="10">
        <v>1</v>
      </c>
      <c r="E6" s="3">
        <f t="shared" si="0"/>
        <v>5000000</v>
      </c>
      <c r="F6" s="37" t="s">
        <v>1085</v>
      </c>
    </row>
    <row r="7" spans="1:6" ht="127.5">
      <c r="A7" s="10" t="s">
        <v>721</v>
      </c>
      <c r="B7" s="10" t="s">
        <v>1024</v>
      </c>
      <c r="C7" s="3">
        <v>15000000</v>
      </c>
      <c r="D7" s="10">
        <v>1</v>
      </c>
      <c r="E7" s="3">
        <f t="shared" si="0"/>
        <v>15000000</v>
      </c>
      <c r="F7" s="37" t="s">
        <v>1084</v>
      </c>
    </row>
    <row r="8" spans="1:6" ht="114.75">
      <c r="A8" s="10" t="s">
        <v>722</v>
      </c>
      <c r="B8" s="10" t="s">
        <v>1025</v>
      </c>
      <c r="C8" s="3">
        <v>350000</v>
      </c>
      <c r="D8" s="10">
        <v>1</v>
      </c>
      <c r="E8" s="3">
        <f t="shared" si="0"/>
        <v>350000</v>
      </c>
      <c r="F8" s="37" t="s">
        <v>1083</v>
      </c>
    </row>
    <row r="9" spans="1:6" ht="114.75">
      <c r="A9" s="37" t="s">
        <v>1065</v>
      </c>
      <c r="B9" s="37" t="s">
        <v>1070</v>
      </c>
      <c r="C9" s="39">
        <v>450000</v>
      </c>
      <c r="D9" s="10">
        <v>1</v>
      </c>
      <c r="E9" s="3">
        <f t="shared" si="0"/>
        <v>450000</v>
      </c>
      <c r="F9" s="37" t="s">
        <v>1082</v>
      </c>
    </row>
    <row r="10" spans="1:6" ht="127.5">
      <c r="A10" s="37" t="s">
        <v>1066</v>
      </c>
      <c r="B10" s="37" t="s">
        <v>1071</v>
      </c>
      <c r="C10" s="39">
        <v>500000</v>
      </c>
      <c r="D10" s="10">
        <v>1</v>
      </c>
      <c r="E10" s="3">
        <f t="shared" si="0"/>
        <v>500000</v>
      </c>
      <c r="F10" s="37" t="s">
        <v>1081</v>
      </c>
    </row>
    <row r="11" spans="1:6" ht="114.75">
      <c r="A11" s="10" t="s">
        <v>723</v>
      </c>
      <c r="B11" s="10" t="s">
        <v>1026</v>
      </c>
      <c r="C11" s="3">
        <v>250000</v>
      </c>
      <c r="D11" s="10">
        <v>1</v>
      </c>
      <c r="E11" s="3">
        <f t="shared" si="0"/>
        <v>250000</v>
      </c>
      <c r="F11" s="10" t="s">
        <v>1080</v>
      </c>
    </row>
    <row r="12" spans="1:6">
      <c r="A12" s="61" t="s">
        <v>691</v>
      </c>
      <c r="B12" s="62"/>
      <c r="C12" s="62"/>
      <c r="D12" s="62"/>
      <c r="E12" s="62"/>
      <c r="F12" s="63"/>
    </row>
    <row r="13" spans="1:6" ht="38.25">
      <c r="A13" s="10" t="s">
        <v>724</v>
      </c>
      <c r="B13" s="10" t="s">
        <v>1027</v>
      </c>
      <c r="C13" s="3">
        <v>500000</v>
      </c>
      <c r="D13" s="10">
        <v>1</v>
      </c>
      <c r="E13" s="3">
        <f t="shared" si="0"/>
        <v>500000</v>
      </c>
      <c r="F13" s="10" t="s">
        <v>1079</v>
      </c>
    </row>
    <row r="14" spans="1:6" ht="38.25">
      <c r="A14" s="10" t="s">
        <v>725</v>
      </c>
      <c r="B14" s="10" t="s">
        <v>1028</v>
      </c>
      <c r="C14" s="3">
        <v>700000</v>
      </c>
      <c r="D14" s="10">
        <v>1</v>
      </c>
      <c r="E14" s="3">
        <f t="shared" si="0"/>
        <v>700000</v>
      </c>
      <c r="F14" s="10" t="s">
        <v>1079</v>
      </c>
    </row>
    <row r="15" spans="1:6" ht="38.25">
      <c r="A15" s="10" t="s">
        <v>726</v>
      </c>
      <c r="B15" s="10" t="s">
        <v>1029</v>
      </c>
      <c r="C15" s="3">
        <v>1500000</v>
      </c>
      <c r="D15" s="10">
        <v>1</v>
      </c>
      <c r="E15" s="3">
        <f t="shared" si="0"/>
        <v>1500000</v>
      </c>
      <c r="F15" s="10" t="s">
        <v>1079</v>
      </c>
    </row>
    <row r="16" spans="1:6" ht="51">
      <c r="A16" s="37" t="s">
        <v>1067</v>
      </c>
      <c r="B16" s="37" t="s">
        <v>1072</v>
      </c>
      <c r="C16" s="39">
        <v>350000</v>
      </c>
      <c r="D16" s="10">
        <v>1</v>
      </c>
      <c r="E16" s="3">
        <f t="shared" si="0"/>
        <v>350000</v>
      </c>
      <c r="F16" s="37" t="s">
        <v>1078</v>
      </c>
    </row>
    <row r="17" spans="1:6" ht="38.25">
      <c r="A17" s="10" t="s">
        <v>727</v>
      </c>
      <c r="B17" s="10" t="s">
        <v>1030</v>
      </c>
      <c r="C17" s="3">
        <v>70000</v>
      </c>
      <c r="D17" s="10">
        <v>1</v>
      </c>
      <c r="E17" s="3">
        <f t="shared" si="0"/>
        <v>70000</v>
      </c>
      <c r="F17" s="10" t="s">
        <v>1077</v>
      </c>
    </row>
    <row r="18" spans="1:6">
      <c r="A18" s="61" t="s">
        <v>702</v>
      </c>
      <c r="B18" s="62"/>
      <c r="C18" s="62"/>
      <c r="D18" s="62"/>
      <c r="E18" s="62"/>
      <c r="F18" s="63"/>
    </row>
    <row r="19" spans="1:6" ht="38.25">
      <c r="A19" s="10" t="s">
        <v>728</v>
      </c>
      <c r="B19" s="10" t="s">
        <v>1031</v>
      </c>
      <c r="C19" s="34" t="s">
        <v>705</v>
      </c>
      <c r="D19" s="35">
        <v>1</v>
      </c>
      <c r="E19" s="34" t="s">
        <v>705</v>
      </c>
      <c r="F19" s="10" t="s">
        <v>729</v>
      </c>
    </row>
    <row r="20" spans="1:6" ht="38.25">
      <c r="A20" s="10" t="s">
        <v>730</v>
      </c>
      <c r="B20" s="10" t="s">
        <v>1032</v>
      </c>
      <c r="C20" s="34" t="s">
        <v>709</v>
      </c>
      <c r="D20" s="35">
        <v>1</v>
      </c>
      <c r="E20" s="34" t="s">
        <v>709</v>
      </c>
      <c r="F20" s="3" t="s">
        <v>1076</v>
      </c>
    </row>
    <row r="21" spans="1:6">
      <c r="A21" s="61" t="s">
        <v>711</v>
      </c>
      <c r="B21" s="62"/>
      <c r="C21" s="62"/>
      <c r="D21" s="62"/>
      <c r="E21" s="62"/>
      <c r="F21" s="63"/>
    </row>
    <row r="22" spans="1:6" ht="38.25">
      <c r="A22" s="37" t="s">
        <v>1068</v>
      </c>
      <c r="B22" s="37" t="s">
        <v>1073</v>
      </c>
      <c r="C22" s="39">
        <v>350000</v>
      </c>
      <c r="D22" s="10">
        <v>1</v>
      </c>
      <c r="E22" s="3">
        <f t="shared" si="0"/>
        <v>350000</v>
      </c>
      <c r="F22" s="37" t="s">
        <v>1039</v>
      </c>
    </row>
    <row r="23" spans="1:6">
      <c r="A23" s="37" t="s">
        <v>1069</v>
      </c>
      <c r="B23" s="37" t="s">
        <v>1074</v>
      </c>
      <c r="C23" s="39">
        <v>100000</v>
      </c>
      <c r="D23" s="10">
        <v>1</v>
      </c>
      <c r="E23" s="3">
        <f t="shared" si="0"/>
        <v>100000</v>
      </c>
      <c r="F23" s="37" t="s">
        <v>1075</v>
      </c>
    </row>
    <row r="24" spans="1:6">
      <c r="A24" s="45" t="s">
        <v>713</v>
      </c>
      <c r="B24" s="46"/>
      <c r="C24" s="40"/>
      <c r="D24" s="40"/>
      <c r="E24" s="40"/>
      <c r="F24" s="40"/>
    </row>
    <row r="25" spans="1:6">
      <c r="A25" s="71" t="s">
        <v>714</v>
      </c>
      <c r="B25" s="72"/>
    </row>
    <row r="26" spans="1:6" ht="81.75" customHeight="1">
      <c r="A26" s="71" t="s">
        <v>715</v>
      </c>
      <c r="B26" s="72"/>
    </row>
    <row r="27" spans="1:6" ht="75.75">
      <c r="A27" s="49" t="s">
        <v>1094</v>
      </c>
      <c r="B27" s="50" t="s">
        <v>1125</v>
      </c>
    </row>
  </sheetData>
  <mergeCells count="7">
    <mergeCell ref="A26:B26"/>
    <mergeCell ref="A1:F1"/>
    <mergeCell ref="A3:F3"/>
    <mergeCell ref="A12:F12"/>
    <mergeCell ref="A18:F18"/>
    <mergeCell ref="A21:F21"/>
    <mergeCell ref="A25:B2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F16"/>
  <sheetViews>
    <sheetView workbookViewId="0">
      <selection activeCell="C2" sqref="C2:E2"/>
    </sheetView>
  </sheetViews>
  <sheetFormatPr defaultColWidth="9.42578125" defaultRowHeight="15.75"/>
  <cols>
    <col min="1" max="1" width="26.42578125" style="1" customWidth="1"/>
    <col min="2" max="2" width="60" style="9" customWidth="1"/>
    <col min="3" max="5" width="14.42578125" style="1" customWidth="1"/>
    <col min="6" max="6" width="66.42578125" style="1" customWidth="1"/>
    <col min="7" max="16384" width="9.42578125" style="1"/>
  </cols>
  <sheetData>
    <row r="1" spans="1:6" ht="19.5">
      <c r="A1" s="73" t="s">
        <v>731</v>
      </c>
      <c r="B1" s="73"/>
      <c r="C1" s="73"/>
      <c r="D1" s="73"/>
      <c r="E1" s="73"/>
      <c r="F1" s="73"/>
    </row>
    <row r="2" spans="1:6" s="7" customFormat="1" ht="31.5">
      <c r="A2" s="6" t="s">
        <v>11</v>
      </c>
      <c r="B2" s="8" t="s">
        <v>12</v>
      </c>
      <c r="C2" s="6" t="s">
        <v>18</v>
      </c>
      <c r="D2" s="6" t="s">
        <v>273</v>
      </c>
      <c r="E2" s="6" t="s">
        <v>20</v>
      </c>
      <c r="F2" s="6" t="s">
        <v>14</v>
      </c>
    </row>
    <row r="3" spans="1:6">
      <c r="A3" s="58" t="s">
        <v>15</v>
      </c>
      <c r="B3" s="59"/>
      <c r="C3" s="59"/>
      <c r="D3" s="59"/>
      <c r="E3" s="59"/>
      <c r="F3" s="60"/>
    </row>
    <row r="4" spans="1:6" ht="114.75">
      <c r="A4" s="10" t="s">
        <v>732</v>
      </c>
      <c r="B4" s="10" t="s">
        <v>733</v>
      </c>
      <c r="C4" s="3">
        <v>830000</v>
      </c>
      <c r="D4" s="10">
        <v>1</v>
      </c>
      <c r="E4" s="3">
        <f>C4*D4</f>
        <v>830000</v>
      </c>
      <c r="F4" s="37" t="s">
        <v>1061</v>
      </c>
    </row>
    <row r="5" spans="1:6" ht="114.75">
      <c r="A5" s="10" t="s">
        <v>734</v>
      </c>
      <c r="B5" s="10" t="s">
        <v>735</v>
      </c>
      <c r="C5" s="3">
        <v>1750000</v>
      </c>
      <c r="D5" s="10">
        <v>1</v>
      </c>
      <c r="E5" s="3">
        <f t="shared" ref="E5:E16" si="0">C5*D5</f>
        <v>1750000</v>
      </c>
      <c r="F5" s="37" t="s">
        <v>1062</v>
      </c>
    </row>
    <row r="6" spans="1:6" ht="114.75">
      <c r="A6" s="10" t="s">
        <v>736</v>
      </c>
      <c r="B6" s="10" t="s">
        <v>737</v>
      </c>
      <c r="C6" s="3">
        <v>5000000</v>
      </c>
      <c r="D6" s="10">
        <v>1</v>
      </c>
      <c r="E6" s="3">
        <f t="shared" si="0"/>
        <v>5000000</v>
      </c>
      <c r="F6" s="37" t="s">
        <v>1063</v>
      </c>
    </row>
    <row r="7" spans="1:6" ht="102">
      <c r="A7" s="10" t="s">
        <v>738</v>
      </c>
      <c r="B7" s="10" t="s">
        <v>739</v>
      </c>
      <c r="C7" s="3">
        <v>350000</v>
      </c>
      <c r="D7" s="10">
        <v>1</v>
      </c>
      <c r="E7" s="3">
        <f t="shared" si="0"/>
        <v>350000</v>
      </c>
      <c r="F7" s="37" t="s">
        <v>1064</v>
      </c>
    </row>
    <row r="8" spans="1:6">
      <c r="A8" s="61" t="s">
        <v>691</v>
      </c>
      <c r="B8" s="62"/>
      <c r="C8" s="62"/>
      <c r="D8" s="62"/>
      <c r="E8" s="62"/>
      <c r="F8" s="63"/>
    </row>
    <row r="9" spans="1:6" ht="38.25">
      <c r="A9" s="10" t="s">
        <v>740</v>
      </c>
      <c r="B9" s="10" t="s">
        <v>741</v>
      </c>
      <c r="C9" s="3">
        <v>500000</v>
      </c>
      <c r="D9" s="10">
        <v>1</v>
      </c>
      <c r="E9" s="3">
        <f t="shared" si="0"/>
        <v>500000</v>
      </c>
      <c r="F9" s="33" t="s">
        <v>694</v>
      </c>
    </row>
    <row r="10" spans="1:6" ht="38.25">
      <c r="A10" s="10" t="s">
        <v>742</v>
      </c>
      <c r="B10" s="10" t="s">
        <v>743</v>
      </c>
      <c r="C10" s="3">
        <v>700000</v>
      </c>
      <c r="D10" s="10">
        <v>1</v>
      </c>
      <c r="E10" s="3">
        <f t="shared" si="0"/>
        <v>700000</v>
      </c>
      <c r="F10" s="33" t="s">
        <v>694</v>
      </c>
    </row>
    <row r="11" spans="1:6" ht="38.25">
      <c r="A11" s="10" t="s">
        <v>744</v>
      </c>
      <c r="B11" s="10" t="s">
        <v>745</v>
      </c>
      <c r="C11" s="3">
        <v>1500000</v>
      </c>
      <c r="D11" s="10">
        <v>1</v>
      </c>
      <c r="E11" s="3">
        <f t="shared" si="0"/>
        <v>1500000</v>
      </c>
      <c r="F11" s="33" t="s">
        <v>694</v>
      </c>
    </row>
    <row r="12" spans="1:6" ht="38.25">
      <c r="A12" s="10" t="s">
        <v>746</v>
      </c>
      <c r="B12" s="10" t="s">
        <v>747</v>
      </c>
      <c r="C12" s="3">
        <v>70000</v>
      </c>
      <c r="D12" s="10">
        <v>1</v>
      </c>
      <c r="E12" s="3">
        <f t="shared" si="0"/>
        <v>70000</v>
      </c>
      <c r="F12" s="33" t="s">
        <v>701</v>
      </c>
    </row>
    <row r="13" spans="1:6">
      <c r="A13" s="61" t="s">
        <v>702</v>
      </c>
      <c r="B13" s="62"/>
      <c r="C13" s="62"/>
      <c r="D13" s="62"/>
      <c r="E13" s="62"/>
      <c r="F13" s="63"/>
    </row>
    <row r="14" spans="1:6" ht="27">
      <c r="A14" s="2" t="s">
        <v>748</v>
      </c>
      <c r="B14" s="2" t="s">
        <v>749</v>
      </c>
      <c r="C14" s="3">
        <v>800000</v>
      </c>
      <c r="D14" s="10">
        <v>1</v>
      </c>
      <c r="E14" s="3">
        <f t="shared" si="0"/>
        <v>800000</v>
      </c>
      <c r="F14" s="33" t="s">
        <v>706</v>
      </c>
    </row>
    <row r="15" spans="1:6">
      <c r="A15" s="61" t="s">
        <v>750</v>
      </c>
      <c r="B15" s="62"/>
      <c r="C15" s="62"/>
      <c r="D15" s="62"/>
      <c r="E15" s="62"/>
      <c r="F15" s="63"/>
    </row>
    <row r="16" spans="1:6" ht="45">
      <c r="A16" s="10" t="s">
        <v>751</v>
      </c>
      <c r="B16" s="10" t="s">
        <v>741</v>
      </c>
      <c r="C16" s="11">
        <v>418572</v>
      </c>
      <c r="D16" s="18">
        <v>1</v>
      </c>
      <c r="E16" s="3">
        <f t="shared" si="0"/>
        <v>418572</v>
      </c>
      <c r="F16" s="33" t="s">
        <v>752</v>
      </c>
    </row>
  </sheetData>
  <mergeCells count="5">
    <mergeCell ref="A1:F1"/>
    <mergeCell ref="A3:F3"/>
    <mergeCell ref="A8:F8"/>
    <mergeCell ref="A15:F15"/>
    <mergeCell ref="A13:F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71F3-301B-44AE-89C3-6C9836357748}">
  <sheetPr>
    <tabColor rgb="FFD2B1E3"/>
  </sheetPr>
  <dimension ref="A1:F21"/>
  <sheetViews>
    <sheetView zoomScale="90" zoomScaleNormal="90" workbookViewId="0">
      <selection activeCell="F16" sqref="F16"/>
    </sheetView>
  </sheetViews>
  <sheetFormatPr defaultColWidth="9.42578125" defaultRowHeight="12.75"/>
  <cols>
    <col min="1" max="1" width="23.140625" style="40" customWidth="1"/>
    <col min="2" max="2" width="59.42578125" style="40" bestFit="1" customWidth="1"/>
    <col min="3" max="3" width="13.28515625" style="40" bestFit="1" customWidth="1"/>
    <col min="4" max="5" width="13.28515625" style="40" customWidth="1"/>
    <col min="6" max="6" width="75.28515625" style="40" bestFit="1" customWidth="1"/>
    <col min="7" max="16384" width="9.42578125" style="40"/>
  </cols>
  <sheetData>
    <row r="1" spans="1:6" ht="19.5">
      <c r="A1" s="74" t="s">
        <v>1123</v>
      </c>
      <c r="B1" s="74"/>
      <c r="C1" s="74"/>
      <c r="D1" s="74"/>
      <c r="E1" s="74"/>
      <c r="F1" s="74"/>
    </row>
    <row r="2" spans="1:6" s="41" customFormat="1" ht="31.5">
      <c r="A2" s="6" t="s">
        <v>11</v>
      </c>
      <c r="B2" s="6" t="s">
        <v>12</v>
      </c>
      <c r="C2" s="6" t="s">
        <v>18</v>
      </c>
      <c r="D2" s="6" t="s">
        <v>273</v>
      </c>
      <c r="E2" s="6" t="s">
        <v>20</v>
      </c>
      <c r="F2" s="6" t="s">
        <v>14</v>
      </c>
    </row>
    <row r="3" spans="1:6">
      <c r="A3" s="75" t="s">
        <v>1092</v>
      </c>
      <c r="B3" s="76"/>
      <c r="C3" s="76"/>
      <c r="D3" s="76"/>
      <c r="E3" s="76"/>
      <c r="F3" s="77"/>
    </row>
    <row r="4" spans="1:6" ht="63.75">
      <c r="A4" s="42" t="s">
        <v>1095</v>
      </c>
      <c r="B4" s="42" t="s">
        <v>1107</v>
      </c>
      <c r="C4" s="43">
        <v>250000</v>
      </c>
      <c r="D4" s="42">
        <v>1</v>
      </c>
      <c r="E4" s="43">
        <f>C4*D4</f>
        <v>250000</v>
      </c>
      <c r="F4" s="42" t="s">
        <v>1114</v>
      </c>
    </row>
    <row r="5" spans="1:6" ht="63.75">
      <c r="A5" s="42" t="s">
        <v>1096</v>
      </c>
      <c r="B5" s="42" t="s">
        <v>1106</v>
      </c>
      <c r="C5" s="43">
        <v>450000</v>
      </c>
      <c r="D5" s="42">
        <v>1</v>
      </c>
      <c r="E5" s="43">
        <f t="shared" ref="E5:E8" si="0">C5*D5</f>
        <v>450000</v>
      </c>
      <c r="F5" s="42" t="s">
        <v>1115</v>
      </c>
    </row>
    <row r="6" spans="1:6" ht="63.75">
      <c r="A6" s="42" t="s">
        <v>1097</v>
      </c>
      <c r="B6" s="42" t="s">
        <v>1105</v>
      </c>
      <c r="C6" s="43">
        <v>800000</v>
      </c>
      <c r="D6" s="42">
        <v>1</v>
      </c>
      <c r="E6" s="43">
        <f t="shared" si="0"/>
        <v>800000</v>
      </c>
      <c r="F6" s="42" t="s">
        <v>1124</v>
      </c>
    </row>
    <row r="7" spans="1:6" ht="76.5">
      <c r="A7" s="42" t="s">
        <v>1098</v>
      </c>
      <c r="B7" s="42" t="s">
        <v>1108</v>
      </c>
      <c r="C7" s="43">
        <v>1200000</v>
      </c>
      <c r="D7" s="42">
        <v>1</v>
      </c>
      <c r="E7" s="43">
        <f t="shared" si="0"/>
        <v>1200000</v>
      </c>
      <c r="F7" s="42" t="s">
        <v>1116</v>
      </c>
    </row>
    <row r="8" spans="1:6" ht="76.5">
      <c r="A8" s="42" t="s">
        <v>1099</v>
      </c>
      <c r="B8" s="42" t="s">
        <v>1109</v>
      </c>
      <c r="C8" s="43">
        <v>130000</v>
      </c>
      <c r="D8" s="42">
        <v>1</v>
      </c>
      <c r="E8" s="43">
        <f t="shared" si="0"/>
        <v>130000</v>
      </c>
      <c r="F8" s="42" t="s">
        <v>1117</v>
      </c>
    </row>
    <row r="9" spans="1:6">
      <c r="A9" s="75" t="s">
        <v>1093</v>
      </c>
      <c r="B9" s="76"/>
      <c r="C9" s="76"/>
      <c r="D9" s="76"/>
      <c r="E9" s="76"/>
      <c r="F9" s="77"/>
    </row>
    <row r="10" spans="1:6" ht="25.5">
      <c r="A10" s="42" t="s">
        <v>1100</v>
      </c>
      <c r="B10" s="42" t="s">
        <v>1110</v>
      </c>
      <c r="C10" s="43">
        <f>C4*0.7</f>
        <v>175000</v>
      </c>
      <c r="D10" s="42">
        <v>1</v>
      </c>
      <c r="E10" s="43">
        <f>C10*D10</f>
        <v>175000</v>
      </c>
      <c r="F10" s="42" t="s">
        <v>1118</v>
      </c>
    </row>
    <row r="11" spans="1:6" ht="25.5">
      <c r="A11" s="42" t="s">
        <v>1101</v>
      </c>
      <c r="B11" s="42" t="s">
        <v>1111</v>
      </c>
      <c r="C11" s="43">
        <f>C5*0.7</f>
        <v>315000</v>
      </c>
      <c r="D11" s="42">
        <v>1</v>
      </c>
      <c r="E11" s="43">
        <f t="shared" ref="E11:E14" si="1">C11*D11</f>
        <v>315000</v>
      </c>
      <c r="F11" s="42" t="s">
        <v>1119</v>
      </c>
    </row>
    <row r="12" spans="1:6" ht="25.5">
      <c r="A12" s="42" t="s">
        <v>1102</v>
      </c>
      <c r="B12" s="42" t="s">
        <v>1111</v>
      </c>
      <c r="C12" s="43">
        <f>C6*0.7</f>
        <v>560000</v>
      </c>
      <c r="D12" s="42">
        <v>1</v>
      </c>
      <c r="E12" s="43">
        <f t="shared" si="1"/>
        <v>560000</v>
      </c>
      <c r="F12" s="42" t="s">
        <v>1120</v>
      </c>
    </row>
    <row r="13" spans="1:6" ht="38.25">
      <c r="A13" s="42" t="s">
        <v>1103</v>
      </c>
      <c r="B13" s="42" t="s">
        <v>1112</v>
      </c>
      <c r="C13" s="43">
        <f>C7*0.7</f>
        <v>840000</v>
      </c>
      <c r="D13" s="42">
        <v>1</v>
      </c>
      <c r="E13" s="43">
        <f t="shared" si="1"/>
        <v>840000</v>
      </c>
      <c r="F13" s="42" t="s">
        <v>1121</v>
      </c>
    </row>
    <row r="14" spans="1:6" ht="37.5" customHeight="1">
      <c r="A14" s="42" t="s">
        <v>1104</v>
      </c>
      <c r="B14" s="42" t="s">
        <v>1113</v>
      </c>
      <c r="C14" s="43">
        <f>C8*0.7</f>
        <v>91000</v>
      </c>
      <c r="D14" s="42">
        <v>1</v>
      </c>
      <c r="E14" s="43">
        <f t="shared" si="1"/>
        <v>91000</v>
      </c>
      <c r="F14" s="42" t="s">
        <v>1122</v>
      </c>
    </row>
    <row r="16" spans="1:6" ht="17.25">
      <c r="A16" s="48" t="s">
        <v>713</v>
      </c>
      <c r="B16" s="46"/>
    </row>
    <row r="17" spans="1:6" s="44" customFormat="1" ht="12.75" customHeight="1">
      <c r="A17" s="78" t="s">
        <v>1088</v>
      </c>
      <c r="B17" s="79"/>
      <c r="C17" s="40"/>
      <c r="D17" s="40"/>
      <c r="E17" s="40"/>
      <c r="F17" s="40"/>
    </row>
    <row r="18" spans="1:6" ht="12.75" customHeight="1">
      <c r="A18" s="78" t="s">
        <v>1089</v>
      </c>
      <c r="B18" s="79"/>
    </row>
    <row r="19" spans="1:6" ht="12.75" customHeight="1">
      <c r="A19" s="78" t="s">
        <v>1090</v>
      </c>
      <c r="B19" s="79"/>
    </row>
    <row r="20" spans="1:6" ht="12.75" customHeight="1">
      <c r="A20" s="78" t="s">
        <v>1091</v>
      </c>
      <c r="B20" s="79"/>
    </row>
    <row r="21" spans="1:6" ht="59.25" customHeight="1">
      <c r="A21" s="47" t="s">
        <v>1094</v>
      </c>
      <c r="B21" s="51" t="s">
        <v>1126</v>
      </c>
    </row>
  </sheetData>
  <mergeCells count="7">
    <mergeCell ref="A1:F1"/>
    <mergeCell ref="A3:F3"/>
    <mergeCell ref="A9:F9"/>
    <mergeCell ref="A19:B19"/>
    <mergeCell ref="A20:B20"/>
    <mergeCell ref="A17:B17"/>
    <mergeCell ref="A18:B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59996337778862885"/>
  </sheetPr>
  <dimension ref="A1:D8"/>
  <sheetViews>
    <sheetView workbookViewId="0">
      <selection activeCell="C13" sqref="C13"/>
    </sheetView>
  </sheetViews>
  <sheetFormatPr defaultColWidth="9.42578125" defaultRowHeight="15.75"/>
  <cols>
    <col min="1" max="1" width="26.42578125" style="1" customWidth="1"/>
    <col min="2" max="2" width="60" style="1" customWidth="1"/>
    <col min="3" max="3" width="14.42578125" style="1" customWidth="1"/>
    <col min="4" max="4" width="66.42578125" style="1" customWidth="1"/>
    <col min="5" max="16384" width="9.42578125" style="1"/>
  </cols>
  <sheetData>
    <row r="1" spans="1:4" ht="19.5">
      <c r="A1" s="73" t="s">
        <v>7</v>
      </c>
      <c r="B1" s="73"/>
      <c r="C1" s="73"/>
      <c r="D1" s="73"/>
    </row>
    <row r="2" spans="1:4" s="7" customFormat="1">
      <c r="A2" s="6" t="s">
        <v>11</v>
      </c>
      <c r="B2" s="6" t="s">
        <v>12</v>
      </c>
      <c r="C2" s="6" t="s">
        <v>13</v>
      </c>
      <c r="D2" s="6" t="s">
        <v>14</v>
      </c>
    </row>
    <row r="3" spans="1:4">
      <c r="A3" s="80" t="s">
        <v>753</v>
      </c>
      <c r="B3" s="80"/>
      <c r="C3" s="80"/>
      <c r="D3" s="80"/>
    </row>
    <row r="4" spans="1:4" ht="25.5">
      <c r="A4" s="10" t="s">
        <v>754</v>
      </c>
      <c r="B4" s="10" t="s">
        <v>755</v>
      </c>
      <c r="C4" s="11">
        <f>ROUNDDOWN(1.057*28100,)</f>
        <v>29701</v>
      </c>
      <c r="D4" s="5" t="s">
        <v>756</v>
      </c>
    </row>
    <row r="5" spans="1:4">
      <c r="A5" s="80" t="s">
        <v>16</v>
      </c>
      <c r="B5" s="80"/>
      <c r="C5" s="80"/>
      <c r="D5" s="80"/>
    </row>
    <row r="6" spans="1:4">
      <c r="A6" s="10" t="s">
        <v>757</v>
      </c>
      <c r="B6" s="10" t="s">
        <v>758</v>
      </c>
      <c r="C6" s="11">
        <v>1793.4</v>
      </c>
      <c r="D6" s="5" t="s">
        <v>759</v>
      </c>
    </row>
    <row r="7" spans="1:4">
      <c r="A7" s="80" t="s">
        <v>760</v>
      </c>
      <c r="B7" s="80"/>
      <c r="C7" s="80"/>
      <c r="D7" s="80"/>
    </row>
    <row r="8" spans="1:4" ht="25.5">
      <c r="A8" s="10" t="s">
        <v>761</v>
      </c>
      <c r="B8" s="10" t="s">
        <v>762</v>
      </c>
      <c r="C8" s="11">
        <f>ROUNDDOWN(1.057*8430,)</f>
        <v>8910</v>
      </c>
      <c r="D8" s="5" t="s">
        <v>763</v>
      </c>
    </row>
  </sheetData>
  <mergeCells count="4">
    <mergeCell ref="A1:D1"/>
    <mergeCell ref="A3:D3"/>
    <mergeCell ref="A5:D5"/>
    <mergeCell ref="A7:D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59996337778862885"/>
  </sheetPr>
  <dimension ref="A1:D12"/>
  <sheetViews>
    <sheetView workbookViewId="0">
      <selection sqref="A1:D1"/>
    </sheetView>
  </sheetViews>
  <sheetFormatPr defaultColWidth="9.42578125" defaultRowHeight="15.75"/>
  <cols>
    <col min="1" max="1" width="26.42578125" style="1" customWidth="1"/>
    <col min="2" max="2" width="60" style="9" customWidth="1"/>
    <col min="3" max="3" width="14.42578125" style="1" customWidth="1"/>
    <col min="4" max="4" width="66.42578125" style="1" customWidth="1"/>
    <col min="5" max="16384" width="9.42578125" style="1"/>
  </cols>
  <sheetData>
    <row r="1" spans="1:4" ht="19.5">
      <c r="A1" s="81" t="s">
        <v>764</v>
      </c>
      <c r="B1" s="81"/>
      <c r="C1" s="81"/>
      <c r="D1" s="81"/>
    </row>
    <row r="2" spans="1:4" s="7" customFormat="1">
      <c r="A2" s="6" t="s">
        <v>11</v>
      </c>
      <c r="B2" s="8" t="s">
        <v>12</v>
      </c>
      <c r="C2" s="6" t="s">
        <v>13</v>
      </c>
      <c r="D2" s="6" t="s">
        <v>14</v>
      </c>
    </row>
    <row r="3" spans="1:4">
      <c r="A3" s="68" t="s">
        <v>765</v>
      </c>
      <c r="B3" s="68"/>
      <c r="C3" s="68"/>
      <c r="D3" s="68"/>
    </row>
    <row r="4" spans="1:4" ht="147">
      <c r="A4" s="10" t="s">
        <v>766</v>
      </c>
      <c r="B4" s="10" t="s">
        <v>767</v>
      </c>
      <c r="C4" s="11">
        <f>ROUNDDOWN(1.057*71368,)</f>
        <v>75435</v>
      </c>
      <c r="D4" s="4" t="s">
        <v>768</v>
      </c>
    </row>
    <row r="5" spans="1:4" ht="147">
      <c r="A5" s="10" t="s">
        <v>769</v>
      </c>
      <c r="B5" s="10" t="s">
        <v>770</v>
      </c>
      <c r="C5" s="11">
        <f>ROUNDDOWN(1.057*5946,)</f>
        <v>6284</v>
      </c>
      <c r="D5" s="4" t="s">
        <v>771</v>
      </c>
    </row>
    <row r="6" spans="1:4">
      <c r="A6" s="68" t="s">
        <v>16</v>
      </c>
      <c r="B6" s="68"/>
      <c r="C6" s="68"/>
      <c r="D6" s="68"/>
    </row>
    <row r="7" spans="1:4">
      <c r="A7" s="10" t="s">
        <v>772</v>
      </c>
      <c r="B7" s="10" t="s">
        <v>773</v>
      </c>
      <c r="C7" s="11">
        <v>1744.6</v>
      </c>
      <c r="D7" s="4" t="s">
        <v>774</v>
      </c>
    </row>
    <row r="8" spans="1:4">
      <c r="A8" s="10" t="s">
        <v>775</v>
      </c>
      <c r="B8" s="10" t="s">
        <v>776</v>
      </c>
      <c r="C8" s="11">
        <v>927.2</v>
      </c>
      <c r="D8" s="4" t="s">
        <v>774</v>
      </c>
    </row>
    <row r="9" spans="1:4">
      <c r="A9" s="68" t="s">
        <v>760</v>
      </c>
      <c r="B9" s="68"/>
      <c r="C9" s="68"/>
      <c r="D9" s="68"/>
    </row>
    <row r="10" spans="1:4" ht="25.5">
      <c r="A10" s="10" t="s">
        <v>777</v>
      </c>
      <c r="B10" s="10" t="s">
        <v>778</v>
      </c>
      <c r="C10" s="11">
        <f>ROUNDDOWN(1.057*21409,)</f>
        <v>22629</v>
      </c>
      <c r="D10" s="5" t="s">
        <v>779</v>
      </c>
    </row>
    <row r="11" spans="1:4" ht="25.5">
      <c r="A11" s="10" t="s">
        <v>780</v>
      </c>
      <c r="B11" s="10" t="s">
        <v>781</v>
      </c>
      <c r="C11" s="11">
        <f>ROUNDDOWN(1.057*1783,)</f>
        <v>1884</v>
      </c>
      <c r="D11" s="5" t="s">
        <v>782</v>
      </c>
    </row>
    <row r="12" spans="1:4">
      <c r="A12" s="12"/>
      <c r="B12" s="13"/>
      <c r="C12" s="12"/>
      <c r="D12" s="12"/>
    </row>
  </sheetData>
  <mergeCells count="4">
    <mergeCell ref="A1:D1"/>
    <mergeCell ref="A3:D3"/>
    <mergeCell ref="A6:D6"/>
    <mergeCell ref="A9:D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F4"/>
  <sheetViews>
    <sheetView workbookViewId="0">
      <selection activeCell="F17" sqref="F17"/>
    </sheetView>
  </sheetViews>
  <sheetFormatPr defaultColWidth="9.42578125" defaultRowHeight="15.75"/>
  <cols>
    <col min="1" max="1" width="26.42578125" style="1" customWidth="1"/>
    <col min="2" max="2" width="60" style="1" customWidth="1"/>
    <col min="3" max="5" width="16.28515625" style="1" customWidth="1"/>
    <col min="6" max="6" width="66.42578125" style="1" customWidth="1"/>
    <col min="7" max="16384" width="9.42578125" style="1"/>
  </cols>
  <sheetData>
    <row r="1" spans="1:6" ht="19.5" customHeight="1">
      <c r="A1" s="85" t="s">
        <v>9</v>
      </c>
      <c r="B1" s="86"/>
      <c r="C1" s="86"/>
      <c r="D1" s="86"/>
      <c r="E1" s="86"/>
      <c r="F1" s="86"/>
    </row>
    <row r="2" spans="1:6" ht="15.4" customHeight="1">
      <c r="A2" s="8" t="s">
        <v>11</v>
      </c>
      <c r="B2" s="8" t="s">
        <v>12</v>
      </c>
      <c r="C2" s="8" t="s">
        <v>18</v>
      </c>
      <c r="D2" s="8" t="s">
        <v>273</v>
      </c>
      <c r="E2" s="8" t="s">
        <v>783</v>
      </c>
      <c r="F2" s="8" t="s">
        <v>14</v>
      </c>
    </row>
    <row r="3" spans="1:6" ht="15.4" customHeight="1">
      <c r="A3" s="82" t="s">
        <v>784</v>
      </c>
      <c r="B3" s="83"/>
      <c r="C3" s="83"/>
      <c r="D3" s="83"/>
      <c r="E3" s="83"/>
      <c r="F3" s="84"/>
    </row>
    <row r="4" spans="1:6" ht="15.4" customHeight="1">
      <c r="A4" s="10" t="s">
        <v>785</v>
      </c>
      <c r="B4" s="15" t="s">
        <v>786</v>
      </c>
      <c r="C4" s="3">
        <v>28670</v>
      </c>
      <c r="D4" s="10">
        <v>1</v>
      </c>
      <c r="E4" s="3">
        <f>C4*D4</f>
        <v>28670</v>
      </c>
      <c r="F4" s="14" t="s">
        <v>787</v>
      </c>
    </row>
  </sheetData>
  <mergeCells count="2">
    <mergeCell ref="A3:F3"/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59996337778862885"/>
  </sheetPr>
  <dimension ref="A1:F4"/>
  <sheetViews>
    <sheetView workbookViewId="0">
      <selection activeCell="D27" sqref="D27"/>
    </sheetView>
  </sheetViews>
  <sheetFormatPr defaultColWidth="9.42578125" defaultRowHeight="15.75"/>
  <cols>
    <col min="1" max="1" width="26.42578125" style="1" customWidth="1"/>
    <col min="2" max="2" width="60" style="1" customWidth="1"/>
    <col min="3" max="5" width="16.28515625" style="1" customWidth="1"/>
    <col min="6" max="6" width="66.42578125" style="1" customWidth="1"/>
    <col min="7" max="16384" width="9.42578125" style="1"/>
  </cols>
  <sheetData>
    <row r="1" spans="1:6" ht="19.5">
      <c r="A1" s="73" t="s">
        <v>10</v>
      </c>
      <c r="B1" s="73"/>
      <c r="C1" s="73"/>
      <c r="D1" s="73"/>
      <c r="E1" s="73"/>
      <c r="F1" s="73"/>
    </row>
    <row r="2" spans="1:6">
      <c r="A2" s="8" t="s">
        <v>11</v>
      </c>
      <c r="B2" s="8" t="s">
        <v>12</v>
      </c>
      <c r="C2" s="8" t="s">
        <v>18</v>
      </c>
      <c r="D2" s="8" t="s">
        <v>19</v>
      </c>
      <c r="E2" s="8" t="s">
        <v>20</v>
      </c>
      <c r="F2" s="8" t="s">
        <v>14</v>
      </c>
    </row>
    <row r="3" spans="1:6">
      <c r="A3" s="82" t="s">
        <v>784</v>
      </c>
      <c r="B3" s="83"/>
      <c r="C3" s="83"/>
      <c r="D3" s="83"/>
      <c r="E3" s="83"/>
      <c r="F3" s="84"/>
    </row>
    <row r="4" spans="1:6" ht="38.25">
      <c r="A4" s="10" t="s">
        <v>788</v>
      </c>
      <c r="B4" s="15" t="s">
        <v>789</v>
      </c>
      <c r="C4" s="3">
        <v>903960.7</v>
      </c>
      <c r="D4" s="10">
        <v>1</v>
      </c>
      <c r="E4" s="3">
        <f>C4*D4</f>
        <v>903960.7</v>
      </c>
      <c r="F4" s="14"/>
    </row>
  </sheetData>
  <mergeCells count="2">
    <mergeCell ref="A3:F3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РЕЕСТР</vt:lpstr>
      <vt:lpstr>Сканер-ВС 7.0 BASE ФСТЭК</vt:lpstr>
      <vt:lpstr>(Э) Сканер-ВС 7.0 BASE ФСТЭК</vt:lpstr>
      <vt:lpstr>Сканер-ВС 7.0 Enterprise</vt:lpstr>
      <vt:lpstr>(Э) Сканер-ВС 7.0 Enterprise</vt:lpstr>
      <vt:lpstr>Сканер-ВС Инспектор 7.0 ФСТЭК </vt:lpstr>
      <vt:lpstr>(Э) Сканер-ВС Инспектор 7.0 ФСТ</vt:lpstr>
      <vt:lpstr>Сканер-ВС7 Enterprise Инспектор</vt:lpstr>
      <vt:lpstr>(Э) Сканер-ВС7 Enterprise Инспе</vt:lpstr>
      <vt:lpstr>Комрад V4.5 ФСТЭК</vt:lpstr>
      <vt:lpstr>АК-ВС3 без сертификата</vt:lpstr>
      <vt:lpstr>(Э) АК-ВС3 без сертификата</vt:lpstr>
      <vt:lpstr>АК-ВС3 МО РФ</vt:lpstr>
      <vt:lpstr>(Э) CAT</vt:lpstr>
      <vt:lpstr>Генератор</vt:lpstr>
      <vt:lpstr>ПИК и ПИК Lite</vt:lpstr>
      <vt:lpstr>Пульсар</vt:lpstr>
      <vt:lpstr>Рубикон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Третьякова Анастасия</cp:lastModifiedBy>
  <cp:lastPrinted>2026-09-09T18:30:50Z</cp:lastPrinted>
  <dcterms:created xsi:type="dcterms:W3CDTF">2026-08-03T11:01:07Z</dcterms:created>
  <dcterms:modified xsi:type="dcterms:W3CDTF">2026-09-23T11:32:44Z</dcterms:modified>
</cp:coreProperties>
</file>